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80" yWindow="53" windowWidth="21270" windowHeight="11003" firstSheet="13"/>
  </bookViews>
  <sheets>
    <sheet name="Cover Page" sheetId="7" r:id="rId1"/>
    <sheet name="FFCC Read Me " sheetId="8" r:id="rId2"/>
    <sheet name="FFCC Boiler replacement x 3" sheetId="5" r:id="rId3"/>
    <sheet name="FFCC Boiler retrofit to gas x 3" sheetId="6" r:id="rId4"/>
    <sheet name="FFCC Boiler replacement x 1" sheetId="9" r:id="rId5"/>
    <sheet name="FFCC Boiler retrofit to gas x1" sheetId="2" r:id="rId6"/>
    <sheet name="FFC LSC" sheetId="3" r:id="rId7"/>
    <sheet name="FFCC Wet Scrubber" sheetId="10" r:id="rId8"/>
    <sheet name="FFCC SDA" sheetId="11" r:id="rId9"/>
    <sheet name="FFCC DSI" sheetId="12" r:id="rId10"/>
    <sheet name="FFCC SCR" sheetId="13" r:id="rId11"/>
    <sheet name="FFCC SNCR " sheetId="14" r:id="rId12"/>
    <sheet name="CEPCI Index" sheetId="15" r:id="rId13"/>
    <sheet name="Offsite Waste Costs 2022" sheetId="4" r:id="rId1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6" i="14" l="1"/>
  <c r="B6" i="13"/>
  <c r="B6" i="12"/>
  <c r="B6" i="11"/>
  <c r="B6" i="10"/>
  <c r="C23" i="15"/>
  <c r="C22" i="15"/>
  <c r="C21" i="15"/>
  <c r="C20" i="15"/>
  <c r="C19" i="15"/>
  <c r="C18" i="15"/>
  <c r="C17" i="15"/>
  <c r="C16" i="15"/>
  <c r="C15" i="15"/>
  <c r="C14" i="15"/>
  <c r="C13" i="15"/>
  <c r="C12" i="15"/>
  <c r="C11" i="15"/>
  <c r="C10" i="15"/>
  <c r="C9" i="15"/>
  <c r="C8" i="15"/>
  <c r="C7" i="15"/>
  <c r="C6" i="15"/>
  <c r="C5" i="15"/>
  <c r="C4" i="15"/>
  <c r="C3" i="15"/>
  <c r="C2" i="15"/>
  <c r="B27" i="14"/>
  <c r="B18" i="14"/>
  <c r="B21" i="14" s="1"/>
  <c r="B15" i="14"/>
  <c r="B4" i="14"/>
  <c r="B5" i="14" s="1"/>
  <c r="B9" i="14" s="1"/>
  <c r="B22" i="14" s="1"/>
  <c r="B28" i="14" s="1"/>
  <c r="B27" i="13"/>
  <c r="B17" i="13"/>
  <c r="B15" i="13"/>
  <c r="B4" i="13"/>
  <c r="B5" i="13" s="1"/>
  <c r="B29" i="12"/>
  <c r="B19" i="12"/>
  <c r="B17" i="12"/>
  <c r="B4" i="12"/>
  <c r="B5" i="12" s="1"/>
  <c r="B29" i="11"/>
  <c r="B19" i="11"/>
  <c r="B17" i="11"/>
  <c r="B4" i="11"/>
  <c r="B5" i="11" s="1"/>
  <c r="B29" i="10"/>
  <c r="B19" i="10"/>
  <c r="B17" i="10"/>
  <c r="B4" i="10"/>
  <c r="B5" i="10" s="1"/>
  <c r="B22" i="10" s="1"/>
  <c r="B32" i="9"/>
  <c r="B6" i="9"/>
  <c r="C32" i="9"/>
  <c r="B21" i="9"/>
  <c r="H11" i="9"/>
  <c r="H6" i="9"/>
  <c r="B4" i="9"/>
  <c r="B5" i="9" s="1"/>
  <c r="N6" i="8"/>
  <c r="M6" i="8"/>
  <c r="B6" i="6"/>
  <c r="C31" i="6"/>
  <c r="B31" i="6"/>
  <c r="B21" i="6"/>
  <c r="H11" i="6"/>
  <c r="H6" i="6"/>
  <c r="B4" i="6"/>
  <c r="B5" i="6" s="1"/>
  <c r="B6" i="5"/>
  <c r="C31" i="5"/>
  <c r="B31" i="5"/>
  <c r="D31" i="5" s="1"/>
  <c r="B21" i="5"/>
  <c r="H11" i="5"/>
  <c r="H6" i="5"/>
  <c r="B4" i="5"/>
  <c r="B5" i="5" s="1"/>
  <c r="I36" i="4"/>
  <c r="I35" i="4"/>
  <c r="I34" i="4"/>
  <c r="I16" i="4"/>
  <c r="I14" i="4"/>
  <c r="E5" i="4"/>
  <c r="E4" i="4"/>
  <c r="N3" i="4"/>
  <c r="N4" i="4" s="1"/>
  <c r="N5" i="4" s="1"/>
  <c r="N6" i="4" s="1"/>
  <c r="N7" i="4" s="1"/>
  <c r="N8" i="4" s="1"/>
  <c r="N9" i="4" s="1"/>
  <c r="N10" i="4" s="1"/>
  <c r="N11" i="4" s="1"/>
  <c r="N12" i="4" s="1"/>
  <c r="N13" i="4" s="1"/>
  <c r="N14" i="4" s="1"/>
  <c r="N15" i="4" s="1"/>
  <c r="N16" i="4" s="1"/>
  <c r="N17" i="4" s="1"/>
  <c r="N18" i="4" s="1"/>
  <c r="N19" i="4" s="1"/>
  <c r="N20" i="4" s="1"/>
  <c r="N21" i="4" s="1"/>
  <c r="N22" i="4" s="1"/>
  <c r="N23" i="4" s="1"/>
  <c r="N24" i="4" s="1"/>
  <c r="N25" i="4" s="1"/>
  <c r="N26" i="4" s="1"/>
  <c r="N27" i="4" s="1"/>
  <c r="N28" i="4" s="1"/>
  <c r="N29" i="4" s="1"/>
  <c r="N30" i="4" s="1"/>
  <c r="N31" i="4" s="1"/>
  <c r="N32" i="4" s="1"/>
  <c r="N34" i="4" s="1"/>
  <c r="M3" i="4"/>
  <c r="M4" i="4" s="1"/>
  <c r="M5" i="4" s="1"/>
  <c r="M6" i="4" s="1"/>
  <c r="M7" i="4" s="1"/>
  <c r="M8" i="4" s="1"/>
  <c r="M9" i="4" s="1"/>
  <c r="M10" i="4" s="1"/>
  <c r="M11" i="4" s="1"/>
  <c r="M12" i="4" s="1"/>
  <c r="M13" i="4" s="1"/>
  <c r="M14" i="4" s="1"/>
  <c r="M15" i="4" s="1"/>
  <c r="M16" i="4" s="1"/>
  <c r="M17" i="4" s="1"/>
  <c r="M18" i="4" s="1"/>
  <c r="M19" i="4" s="1"/>
  <c r="M20" i="4" s="1"/>
  <c r="M21" i="4" s="1"/>
  <c r="M22" i="4" s="1"/>
  <c r="M23" i="4" s="1"/>
  <c r="M24" i="4" s="1"/>
  <c r="M25" i="4" s="1"/>
  <c r="M26" i="4" s="1"/>
  <c r="M27" i="4" s="1"/>
  <c r="M28" i="4" s="1"/>
  <c r="M29" i="4" s="1"/>
  <c r="M30" i="4" s="1"/>
  <c r="M31" i="4" s="1"/>
  <c r="M32" i="4" s="1"/>
  <c r="M34" i="4" s="1"/>
  <c r="E3" i="4"/>
  <c r="E2" i="4"/>
  <c r="B16" i="6" l="1"/>
  <c r="B16" i="5"/>
  <c r="H15" i="5"/>
  <c r="I25" i="5" s="1"/>
  <c r="I27" i="5" s="1"/>
  <c r="B11" i="5" s="1"/>
  <c r="H15" i="6"/>
  <c r="I25" i="6" s="1"/>
  <c r="I27" i="6" s="1"/>
  <c r="B11" i="6" s="1"/>
  <c r="H15" i="9"/>
  <c r="I25" i="9" s="1"/>
  <c r="I27" i="9" s="1"/>
  <c r="B11" i="9" s="1"/>
  <c r="B19" i="9" s="1"/>
  <c r="B33" i="9"/>
  <c r="B21" i="12"/>
  <c r="B20" i="12"/>
  <c r="B9" i="12"/>
  <c r="B22" i="12"/>
  <c r="B21" i="11"/>
  <c r="B22" i="11"/>
  <c r="B20" i="11"/>
  <c r="B23" i="11" s="1"/>
  <c r="B9" i="11"/>
  <c r="B18" i="13"/>
  <c r="B19" i="13"/>
  <c r="B9" i="13"/>
  <c r="B20" i="13"/>
  <c r="B20" i="10"/>
  <c r="B21" i="10"/>
  <c r="B9" i="10"/>
  <c r="B22" i="9"/>
  <c r="B24" i="9"/>
  <c r="B9" i="9"/>
  <c r="B23" i="9"/>
  <c r="D32" i="9"/>
  <c r="B19" i="6"/>
  <c r="B24" i="6"/>
  <c r="B9" i="6"/>
  <c r="B23" i="6"/>
  <c r="B22" i="6"/>
  <c r="B25" i="6" s="1"/>
  <c r="D31" i="6"/>
  <c r="B19" i="5"/>
  <c r="B24" i="5"/>
  <c r="B9" i="5"/>
  <c r="B23" i="5"/>
  <c r="B22" i="5"/>
  <c r="B25" i="5" s="1"/>
  <c r="B26" i="5" l="1"/>
  <c r="B23" i="12"/>
  <c r="B23" i="10"/>
  <c r="B24" i="12"/>
  <c r="B30" i="12" s="1"/>
  <c r="B24" i="11"/>
  <c r="B30" i="11" s="1"/>
  <c r="B21" i="13"/>
  <c r="B22" i="13" s="1"/>
  <c r="B28" i="13" s="1"/>
  <c r="B24" i="10"/>
  <c r="B30" i="10" s="1"/>
  <c r="B25" i="9"/>
  <c r="B26" i="9" s="1"/>
  <c r="B26" i="6"/>
  <c r="D32" i="5"/>
  <c r="C32" i="5"/>
  <c r="B32" i="5"/>
  <c r="D34" i="9" l="1"/>
  <c r="C34" i="9"/>
  <c r="B34" i="9"/>
  <c r="B32" i="6"/>
  <c r="D32" i="6"/>
  <c r="C32" i="6"/>
  <c r="E11" i="3" l="1"/>
  <c r="D11" i="3"/>
  <c r="C11" i="3"/>
  <c r="E10" i="3"/>
  <c r="E12" i="3" s="1"/>
  <c r="D10" i="3"/>
  <c r="D12" i="3" s="1"/>
  <c r="C10" i="3"/>
  <c r="D13" i="3"/>
  <c r="E8" i="3"/>
  <c r="D7" i="3"/>
  <c r="D8" i="3" s="1"/>
  <c r="C7" i="3"/>
  <c r="C8" i="3" s="1"/>
  <c r="B6" i="2"/>
  <c r="B32" i="2"/>
  <c r="C32" i="2"/>
  <c r="B21" i="2"/>
  <c r="H11" i="2"/>
  <c r="H6" i="2"/>
  <c r="B4" i="2"/>
  <c r="B5" i="2" s="1"/>
  <c r="B23" i="2" s="1"/>
  <c r="H15" i="2" l="1"/>
  <c r="I25" i="2" s="1"/>
  <c r="I27" i="2" s="1"/>
  <c r="B11" i="2" s="1"/>
  <c r="B19" i="2" s="1"/>
  <c r="B33" i="2"/>
  <c r="C12" i="3"/>
  <c r="E14" i="3"/>
  <c r="E13" i="3"/>
  <c r="E16" i="3"/>
  <c r="C14" i="3"/>
  <c r="D14" i="3"/>
  <c r="D15" i="3"/>
  <c r="B22" i="2"/>
  <c r="D32" i="2"/>
  <c r="B9" i="2"/>
  <c r="B24" i="2"/>
  <c r="B25" i="2" s="1"/>
  <c r="C13" i="3" l="1"/>
  <c r="E15" i="3"/>
  <c r="B26" i="2"/>
  <c r="D34" i="2" l="1"/>
  <c r="C34" i="2"/>
  <c r="B34" i="2"/>
</calcChain>
</file>

<file path=xl/comments1.xml><?xml version="1.0" encoding="utf-8"?>
<comments xmlns="http://schemas.openxmlformats.org/spreadsheetml/2006/main">
  <authors>
    <author>Floyd, Thomas</author>
    <author>a850836</author>
  </authors>
  <commentList>
    <comment ref="M2" authorId="0">
      <text>
        <r>
          <rPr>
            <b/>
            <sz val="9"/>
            <color indexed="81"/>
            <rFont val="Tahoma"/>
            <family val="2"/>
          </rPr>
          <t>Floyd, Thomas:</t>
        </r>
        <r>
          <rPr>
            <sz val="9"/>
            <color indexed="81"/>
            <rFont val="Tahoma"/>
            <family val="2"/>
          </rPr>
          <t xml:space="preserve">
Base year for offsite disposal. The original offsite cost was inflated using a factor 3% annual increase. This is consistent with historical vendor increases. </t>
        </r>
      </text>
    </comment>
    <comment ref="N2" authorId="0">
      <text>
        <r>
          <rPr>
            <b/>
            <sz val="9"/>
            <color indexed="81"/>
            <rFont val="Tahoma"/>
            <family val="2"/>
          </rPr>
          <t>Floyd, Thomas:</t>
        </r>
        <r>
          <rPr>
            <sz val="9"/>
            <color indexed="81"/>
            <rFont val="Tahoma"/>
            <family val="2"/>
          </rPr>
          <t xml:space="preserve">
Base year for offsite disposal. The original offsite cost was inflated using a factor 3% annual increase. This is consistent with historical vendor increases. However, the average inflation over the past 10 years, using the DEQ price inflator, is currently 2% and climbing. FFCC will use the 2% factor for the 2022 Update.</t>
        </r>
      </text>
    </comment>
    <comment ref="A10" authorId="1">
      <text>
        <r>
          <rPr>
            <b/>
            <sz val="9"/>
            <color indexed="81"/>
            <rFont val="Tahoma"/>
            <family val="2"/>
          </rPr>
          <t>TL Floyd:</t>
        </r>
        <r>
          <rPr>
            <sz val="9"/>
            <color indexed="81"/>
            <rFont val="Tahoma"/>
            <family val="2"/>
          </rPr>
          <t xml:space="preserve">
Waste that is burned in boilers is a mix of High Btu and Solvent Waste. So I averaged those two quotes to get $0.43/lb for boiler waste. then there is 16.5% envrionmental/fuel fee making it $0.50/lb 
Transportation quoted by the vendor in 2020 was $1925 per load. Diesel has more than doubled, but I will increase just 15%, making it now $2214 per load. Legacy charges just over $1,500 per load, but they can't handle this volume.
The amount of waste is based on the worst month 2017 - 2019 and then annualizing it, which is 32,317,116 lbs/yr</t>
        </r>
      </text>
    </comment>
    <comment ref="H14" authorId="1">
      <text>
        <r>
          <rPr>
            <b/>
            <sz val="9"/>
            <color indexed="81"/>
            <rFont val="Tahoma"/>
            <family val="2"/>
          </rPr>
          <t>a850836:</t>
        </r>
        <r>
          <rPr>
            <sz val="9"/>
            <color indexed="81"/>
            <rFont val="Tahoma"/>
            <family val="2"/>
          </rPr>
          <t xml:space="preserve">
Maximum amount burend in one year over the last 10-years.</t>
        </r>
      </text>
    </comment>
    <comment ref="H15" authorId="1">
      <text>
        <r>
          <rPr>
            <b/>
            <sz val="9"/>
            <color indexed="81"/>
            <rFont val="Tahoma"/>
            <family val="2"/>
          </rPr>
          <t>a850836:</t>
        </r>
        <r>
          <rPr>
            <sz val="9"/>
            <color indexed="81"/>
            <rFont val="Tahoma"/>
            <family val="2"/>
          </rPr>
          <t xml:space="preserve">
Maximum amoung of waste burned in one month between 2018 and 2019. Did not have 2017 per month.</t>
        </r>
      </text>
    </comment>
    <comment ref="H16" authorId="1">
      <text>
        <r>
          <rPr>
            <b/>
            <sz val="9"/>
            <color indexed="81"/>
            <rFont val="Tahoma"/>
            <family val="2"/>
          </rPr>
          <t>a850836:</t>
        </r>
        <r>
          <rPr>
            <sz val="9"/>
            <color indexed="81"/>
            <rFont val="Tahoma"/>
            <family val="2"/>
          </rPr>
          <t xml:space="preserve">
The maximum month in 2018-2019 was annualized to get the worst case year. This is very realistic since we actually combusted more in 2011.</t>
        </r>
      </text>
    </comment>
  </commentList>
</comments>
</file>

<file path=xl/sharedStrings.xml><?xml version="1.0" encoding="utf-8"?>
<sst xmlns="http://schemas.openxmlformats.org/spreadsheetml/2006/main" count="489" uniqueCount="141">
  <si>
    <t>Annual Baseline Emissions</t>
  </si>
  <si>
    <t>SO2</t>
  </si>
  <si>
    <t>Nox</t>
  </si>
  <si>
    <t>Data Source</t>
  </si>
  <si>
    <t>EIS Gateway</t>
  </si>
  <si>
    <t>DEQ EI Submission</t>
  </si>
  <si>
    <t>Avg</t>
  </si>
  <si>
    <t>Incremental Fuel Cost Calculations</t>
  </si>
  <si>
    <t>Capital Investment</t>
  </si>
  <si>
    <t>Estimate</t>
  </si>
  <si>
    <t>Notes</t>
  </si>
  <si>
    <t>Direct and Indirect Capital Investment</t>
  </si>
  <si>
    <t xml:space="preserve">Coal-Fired Boilers </t>
  </si>
  <si>
    <t>20% Contingency (0.2*Direct and Indirect Capital Investment)</t>
  </si>
  <si>
    <t>lb steam</t>
  </si>
  <si>
    <t>btu</t>
  </si>
  <si>
    <t>lb coal</t>
  </si>
  <si>
    <t>short ton</t>
  </si>
  <si>
    <t>$</t>
  </si>
  <si>
    <t>Northern Appalachia (&lt;3% SO2, 13000lb/btu, EIA accessed on 7/17/20)</t>
  </si>
  <si>
    <t>Total Capital Investment (TCI)</t>
  </si>
  <si>
    <t>hr</t>
  </si>
  <si>
    <t>lb</t>
  </si>
  <si>
    <t>CRF =  (i(1+i)^n)/(((1+i)^n)-1)</t>
  </si>
  <si>
    <t>I = 0.07),  n = 30 years</t>
  </si>
  <si>
    <t>Natural Gas Fired Boilers</t>
  </si>
  <si>
    <t>Annualized Capital Investment</t>
  </si>
  <si>
    <t>MMbtu</t>
  </si>
  <si>
    <t>Midwest Region Natural Gas (EIA accessed on 7/17/20)</t>
  </si>
  <si>
    <t>Annual Operating and Maintenance Costs</t>
  </si>
  <si>
    <t>Mmbtu</t>
  </si>
  <si>
    <t>Fuel</t>
  </si>
  <si>
    <t>See incremental fuel cost calculations</t>
  </si>
  <si>
    <t xml:space="preserve">Incremental Electrical Costs </t>
  </si>
  <si>
    <t xml:space="preserve"> Incremental Maintenance Costs </t>
  </si>
  <si>
    <t xml:space="preserve">Incremental Operating And Support Labor Costs </t>
  </si>
  <si>
    <t xml:space="preserve">Incremental Permitting and Compliance Costs </t>
  </si>
  <si>
    <t xml:space="preserve">Offsite Liquid Waste Disposal Costs </t>
  </si>
  <si>
    <t>Offsite Dewatered Sludge Disposal Costs</t>
  </si>
  <si>
    <t>It is 13% cheaper to operate using natural gas, this does not account for the cost of transportation of coal. FutureFuels already has existing pipeline infrastructure for its other natural gas units therefore there should not be additional cost associated with transport of gas).</t>
  </si>
  <si>
    <t xml:space="preserve">Offsite Disposal Support Labor Costs </t>
  </si>
  <si>
    <t>Total Annual Operating and Maintenance Costs</t>
  </si>
  <si>
    <t>% change (%) = (cost of natural gas  to generate 1 lb of steam (N) minus cost of coal to generate 1 lb steam(C))/(cost of coal to generate 1 lb of steam(C))</t>
  </si>
  <si>
    <t>Indirect Annual Costs</t>
  </si>
  <si>
    <t>Overhead</t>
  </si>
  <si>
    <t>%=(N-C)/C</t>
  </si>
  <si>
    <t>C%=N-C</t>
  </si>
  <si>
    <t>C+C% = N</t>
  </si>
  <si>
    <t>C(1+%)=N</t>
  </si>
  <si>
    <t>C=N/(1+%)</t>
  </si>
  <si>
    <t>Administrative</t>
  </si>
  <si>
    <t>Property Tax</t>
  </si>
  <si>
    <t>N=</t>
  </si>
  <si>
    <t>Insurance</t>
  </si>
  <si>
    <t xml:space="preserve">Total Indirect Annual Cost </t>
  </si>
  <si>
    <t>C=</t>
  </si>
  <si>
    <t>Total Annual Cost</t>
  </si>
  <si>
    <t>NOx</t>
  </si>
  <si>
    <t>Both</t>
  </si>
  <si>
    <t>Average Annual Baseline Emissions (tons)</t>
  </si>
  <si>
    <t>623,677 cheaper to burn natural gas per year than current fuel</t>
  </si>
  <si>
    <t xml:space="preserve">Control Efficiency </t>
  </si>
  <si>
    <t>Estimated Emission Reductions (tons)</t>
  </si>
  <si>
    <t>Cost-Effectiveness ($/ton)</t>
  </si>
  <si>
    <t>I = 0.07,  n = 30 years</t>
  </si>
  <si>
    <t>Average Annual Baseline Coal Only (tons)</t>
  </si>
  <si>
    <t>Effective Control Efficiency</t>
  </si>
  <si>
    <t>I =7%,  n = 30 years</t>
  </si>
  <si>
    <t>Average Annual Baseline Emissions for Coal Only (tons)</t>
  </si>
  <si>
    <t>Costs for each lower sulfur content coal scenario were revised to reflect the incremental cost of the scenario above current costs for coal.  The tax associated with the 1.5% sulfur content coal control scenario was adjusted to remove cost of transportation from the taxable amount. In addition, the control efficiency was adjusted to reflect emission reductions resulting from switching coals without making changes to emissions from waste streams in the baseline. This change reflects a mass-balance estimation of SO2 emitted from burning coal and the average sulfur content of the coals burned during the baseline instead of the permitted sulfur content limit for coal. (See email from Philip Antici on 7/23/ 20 and FFCC Coal and Waste SO2 mmBtu Baseline_9_8_2020 spreadsheet.</t>
  </si>
  <si>
    <t>2017 - 2019 FFCC Baseline Coal Data</t>
  </si>
  <si>
    <t>Sulfur Content Control Scenarios</t>
  </si>
  <si>
    <t>CFBs Year</t>
  </si>
  <si>
    <t>BLR 1 mmBtu/yr</t>
  </si>
  <si>
    <t>BLR 2 mmBtu/yr</t>
  </si>
  <si>
    <t>BLR 3 mmBtu/yr</t>
  </si>
  <si>
    <t>All Coal-Fired Boilers mmBtu/yr</t>
  </si>
  <si>
    <t>ton SO2/yr</t>
  </si>
  <si>
    <t>Incremental Increase in Cost ($)</t>
  </si>
  <si>
    <t>Tax ($)</t>
  </si>
  <si>
    <t>Total Annual Cost ($ 2019)</t>
  </si>
  <si>
    <t>Average Annual Baseline Emissions (all fuels tons)</t>
  </si>
  <si>
    <t>Average Annual Baseline Emissions  (coal only tons)</t>
  </si>
  <si>
    <t>Percent Reduction in Coal Sulfur Content</t>
  </si>
  <si>
    <t>Total Heat Input</t>
  </si>
  <si>
    <t>All Feed Year</t>
  </si>
  <si>
    <t>CFBs mmBtu/yr</t>
  </si>
  <si>
    <t>Waste mmBtu/yr</t>
  </si>
  <si>
    <t>Total mmBtu/yr</t>
  </si>
  <si>
    <t>Effective Control Efficiency(%)</t>
  </si>
  <si>
    <t>Incremental Cost-Effectiveness 2.5%</t>
  </si>
  <si>
    <t>Incremental Cost-Effectiveness 2%</t>
  </si>
  <si>
    <t>Annual Baseline Emissions (All Fuels)</t>
  </si>
  <si>
    <t>AFUDC, Owner's Costs, Contingency subtracted from capital costs provided by FutureFuel</t>
  </si>
  <si>
    <t>Fixed Additional Operating Labor Costs</t>
  </si>
  <si>
    <t>Fixed AdditionalMaintenance Labor and Materials</t>
  </si>
  <si>
    <t>Additional Administrative Labor Costs</t>
  </si>
  <si>
    <t>Variable Sorbent Cost</t>
  </si>
  <si>
    <t>Variable Cost Waste Disposal of Sorbent</t>
  </si>
  <si>
    <t>Variable cost of Additional Power, Makeup Water, and Sulfuric Acid</t>
  </si>
  <si>
    <t>AFUDC, Owner's Costs, Contingency subtractd from capital costs provided by FutureFuel</t>
  </si>
  <si>
    <t>Fixed Additional Maintenance Labor and Materials</t>
  </si>
  <si>
    <t>Variable cost of Additional Power and Make Up Water</t>
  </si>
  <si>
    <t>Owner's Costs, Contingency subtracted from capital costs provided by FutureFuel</t>
  </si>
  <si>
    <t xml:space="preserve">Variable cost of Additional Power </t>
  </si>
  <si>
    <t>Maintenance</t>
  </si>
  <si>
    <t>Reagent</t>
  </si>
  <si>
    <t>Electricity</t>
  </si>
  <si>
    <t>Catalyst Replacement</t>
  </si>
  <si>
    <t>Water, Additional Fuel, Additional Ash Cost</t>
  </si>
  <si>
    <t>Year (n)</t>
  </si>
  <si>
    <t>CEPCI Index Value</t>
  </si>
  <si>
    <r>
      <t>Cost Index Ratio (Value</t>
    </r>
    <r>
      <rPr>
        <vertAlign val="subscript"/>
        <sz val="11"/>
        <color theme="1"/>
        <rFont val="Calibri"/>
        <family val="2"/>
        <scheme val="minor"/>
      </rPr>
      <t>2019</t>
    </r>
    <r>
      <rPr>
        <sz val="11"/>
        <color theme="1"/>
        <rFont val="Times New Roman"/>
        <family val="2"/>
      </rPr>
      <t>/Value</t>
    </r>
    <r>
      <rPr>
        <vertAlign val="subscript"/>
        <sz val="11"/>
        <color theme="1"/>
        <rFont val="Calibri"/>
        <family val="2"/>
        <scheme val="minor"/>
      </rPr>
      <t>n</t>
    </r>
    <r>
      <rPr>
        <sz val="11"/>
        <color theme="1"/>
        <rFont val="Times New Roman"/>
        <family val="2"/>
      </rPr>
      <t>)</t>
    </r>
  </si>
  <si>
    <t>Waste</t>
  </si>
  <si>
    <t>Cost/lb</t>
  </si>
  <si>
    <t>Comment</t>
  </si>
  <si>
    <t>2022 Increase</t>
  </si>
  <si>
    <t>Year</t>
  </si>
  <si>
    <t>Amount Burned in Boiler</t>
  </si>
  <si>
    <t>Original</t>
  </si>
  <si>
    <t>2022 Update</t>
  </si>
  <si>
    <t>High Btu Waste</t>
  </si>
  <si>
    <t>Vendor Quote 3/12/20</t>
  </si>
  <si>
    <t>Solvent Waste (Boiler Waste)</t>
  </si>
  <si>
    <t>Low BTU Waste</t>
  </si>
  <si>
    <t>Low BTU Acidic Waste</t>
  </si>
  <si>
    <t xml:space="preserve"> </t>
  </si>
  <si>
    <t>32,317,116 lb x $0.50/lb (Disposal Estimate) = $16,158,558</t>
  </si>
  <si>
    <t>At least 750 shipments x $2,214/shipment = $1,660,500</t>
  </si>
  <si>
    <t>How to quantify cost of resources to ship twice per day?</t>
  </si>
  <si>
    <t>Estimating $17,819,058 annual or $342,674 per week.</t>
  </si>
  <si>
    <t>Max Yr</t>
  </si>
  <si>
    <t>Max Mo</t>
  </si>
  <si>
    <t xml:space="preserve">Waste combustion amounts are direcly proportional to FFCC's business. FFCC business tends to be cyclical and FFCC expects business to return to higher levels as seen in 2010 to 2014 levels. The years of 2020 - 2022 are abnormal and has been impacted by a pandemic, oversea wars, supply chain disruptions, and other unusual circumstances beyond FFCC's control. </t>
  </si>
  <si>
    <t>Annualized</t>
  </si>
  <si>
    <t>DEQ Inflation Factor</t>
  </si>
  <si>
    <t xml:space="preserve">2020 was the base year for offsite disposal. The original offsite cost was inflated using a 3% annual increase. This is consistent with historical vendor increases. The DEQ price inflator (Implicit Price Deflator for the U.S. Gross National Product) is currently 5.8%, but the  10-year average is 2% and climbing (see adjacent table). FFCC will use the 2% factor for the 2022 Update.  </t>
  </si>
  <si>
    <t>10yr Avg</t>
  </si>
  <si>
    <t>Avg 20 &amp; 50</t>
  </si>
  <si>
    <t>5Yr Avg</t>
  </si>
  <si>
    <t>2yr Avg</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</si>
</sst>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0000000_);_(&quot;$&quot;* \(#,##0.0000000\);_(&quot;$&quot;* &quot;-&quot;??_);_(@_)"/>
    <numFmt numFmtId="167" formatCode="_(&quot;$&quot;* #,##0.000000_);_(&quot;$&quot;* \(#,##0.000000\);_(&quot;$&quot;* &quot;-&quot;??_);_(@_)"/>
    <numFmt numFmtId="168" formatCode="&quot;$&quot;#,##0\ ;\(&quot;$&quot;#,##0\)"/>
    <numFmt numFmtId="169" formatCode="0.0%"/>
    <numFmt numFmtId="170" formatCode="&quot;$&quot;#,##0"/>
    <numFmt numFmtId="171" formatCode="0.000"/>
  </numFmts>
  <fonts count="27" x14ac:knownFonts="1">
    <font>
      <sz val="11"/>
      <color theme="1"/>
      <name val="Times New Roman"/>
      <family val="2"/>
    </font>
    <font>
      <sz val="11"/>
      <color theme="1"/>
      <name val="Calibri"/>
      <family val="2"/>
      <scheme val="minor"/>
    </font>
    <font>
      <sz val="11"/>
      <color rgb="FFFF0000"/>
      <name val="Calibri"/>
      <family val="2"/>
      <scheme val="minor"/>
    </font>
    <font>
      <b/>
      <sz val="11"/>
      <color theme="1"/>
      <name val="Calibri"/>
      <family val="2"/>
      <scheme val="minor"/>
    </font>
    <font>
      <sz val="11"/>
      <color theme="1"/>
      <name val="Times New Roman"/>
      <family val="2"/>
    </font>
    <font>
      <b/>
      <sz val="11"/>
      <color theme="1"/>
      <name val="Times New Roman"/>
      <family val="1"/>
    </font>
    <font>
      <b/>
      <sz val="9"/>
      <color indexed="81"/>
      <name val="Tahoma"/>
      <family val="2"/>
    </font>
    <font>
      <sz val="9"/>
      <color indexed="81"/>
      <name val="Tahoma"/>
      <family val="2"/>
    </font>
    <font>
      <sz val="10"/>
      <name val="Times New Roman"/>
      <family val="1"/>
    </font>
    <font>
      <sz val="10"/>
      <name val="Arial"/>
      <family val="2"/>
    </font>
    <font>
      <sz val="10"/>
      <color rgb="FF000000"/>
      <name val="Arial"/>
      <family val="2"/>
    </font>
    <font>
      <sz val="12"/>
      <color indexed="24"/>
      <name val="Arial"/>
      <family val="2"/>
    </font>
    <font>
      <sz val="12"/>
      <name val="Arial"/>
      <family val="2"/>
    </font>
    <font>
      <b/>
      <sz val="18"/>
      <name val="Arial"/>
      <family val="2"/>
    </font>
    <font>
      <sz val="18"/>
      <color indexed="24"/>
      <name val="Arial"/>
      <family val="2"/>
    </font>
    <font>
      <b/>
      <sz val="12"/>
      <name val="Arial"/>
      <family val="2"/>
    </font>
    <font>
      <sz val="8"/>
      <color indexed="24"/>
      <name val="Arial"/>
      <family val="2"/>
    </font>
    <font>
      <u/>
      <sz val="11"/>
      <color theme="10"/>
      <name val="Calibri"/>
      <family val="2"/>
    </font>
    <font>
      <sz val="18"/>
      <color theme="3"/>
      <name val="Cambria"/>
      <family val="2"/>
      <scheme val="major"/>
    </font>
    <font>
      <sz val="11"/>
      <color rgb="FF000000"/>
      <name val="Calibri"/>
      <family val="2"/>
      <scheme val="minor"/>
    </font>
    <font>
      <sz val="11"/>
      <color theme="1"/>
      <name val="Times New Roman"/>
      <family val="1"/>
    </font>
    <font>
      <b/>
      <sz val="11"/>
      <color rgb="FF0000FF"/>
      <name val="Calibri"/>
      <family val="2"/>
      <scheme val="minor"/>
    </font>
    <font>
      <sz val="11"/>
      <color rgb="FF0000FF"/>
      <name val="Calibri"/>
      <family val="2"/>
      <scheme val="minor"/>
    </font>
    <font>
      <i/>
      <sz val="11"/>
      <color theme="1"/>
      <name val="Calibri"/>
      <family val="2"/>
      <scheme val="minor"/>
    </font>
    <font>
      <sz val="11"/>
      <name val="Calibri"/>
      <family val="2"/>
      <scheme val="minor"/>
    </font>
    <font>
      <vertAlign val="subscript"/>
      <sz val="11"/>
      <color theme="1"/>
      <name val="Calibri"/>
      <family val="2"/>
      <scheme val="minor"/>
    </font>
    <font>
      <sz val="11"/>
      <color rgb="FF000000"/>
      <name val="Calibri"/>
      <family val="2"/>
    </font>
  </fonts>
  <fills count="3">
    <fill>
      <patternFill patternType="none"/>
    </fill>
    <fill>
      <patternFill patternType="gray125"/>
    </fill>
    <fill>
      <patternFill patternType="solid">
        <fgColor theme="5" tint="0.79998168889431442"/>
        <bgColor indexed="64"/>
      </patternFill>
    </fill>
  </fills>
  <borders count="3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0"/>
      </top>
      <bottom style="double">
        <color indexed="0"/>
      </bottom>
      <diagonal/>
    </border>
    <border>
      <left/>
      <right/>
      <top style="double">
        <color indexed="64"/>
      </top>
      <bottom/>
      <diagonal/>
    </border>
    <border>
      <left/>
      <right/>
      <top/>
      <bottom style="medium">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s>
  <cellStyleXfs count="126">
    <xf numFmtId="0" fontId="0" fillId="0" borderId="0"/>
    <xf numFmtId="9" fontId="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9" fillId="0" borderId="0" applyFont="0" applyFill="0" applyBorder="0" applyAlignment="0" applyProtection="0"/>
    <xf numFmtId="44" fontId="1" fillId="0" borderId="0" applyFont="0" applyFill="0" applyBorder="0" applyAlignment="0" applyProtection="0"/>
    <xf numFmtId="0" fontId="9" fillId="0" borderId="0"/>
    <xf numFmtId="0" fontId="1" fillId="0" borderId="0"/>
    <xf numFmtId="0" fontId="10" fillId="0" borderId="0"/>
    <xf numFmtId="0" fontId="9" fillId="0" borderId="0" applyBorder="0"/>
    <xf numFmtId="0" fontId="1" fillId="0" borderId="0"/>
    <xf numFmtId="0" fontId="8" fillId="0" borderId="0"/>
    <xf numFmtId="0" fontId="9" fillId="0" borderId="0"/>
    <xf numFmtId="9" fontId="9" fillId="0" borderId="0" applyFont="0" applyFill="0" applyBorder="0" applyAlignment="0" applyProtection="0"/>
    <xf numFmtId="9" fontId="8"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 fontId="11" fillId="0" borderId="0" applyFont="0" applyFill="0" applyBorder="0" applyAlignment="0" applyProtection="0"/>
    <xf numFmtId="4" fontId="11" fillId="0" borderId="0" applyFont="0" applyFill="0" applyBorder="0" applyAlignment="0" applyProtection="0"/>
    <xf numFmtId="4" fontId="11"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11" fillId="0" borderId="0" applyFont="0" applyFill="0" applyBorder="0" applyAlignment="0" applyProtection="0"/>
    <xf numFmtId="44" fontId="9" fillId="0" borderId="0" applyFont="0" applyFill="0" applyBorder="0" applyAlignment="0" applyProtection="0"/>
    <xf numFmtId="5" fontId="9" fillId="0" borderId="0" applyFont="0" applyFill="0" applyBorder="0" applyAlignment="0" applyProtection="0"/>
    <xf numFmtId="5" fontId="9" fillId="0" borderId="0" applyFont="0" applyFill="0" applyBorder="0" applyAlignment="0" applyProtection="0"/>
    <xf numFmtId="5" fontId="9" fillId="0" borderId="0" applyFont="0" applyFill="0" applyBorder="0" applyAlignment="0" applyProtection="0"/>
    <xf numFmtId="168" fontId="11" fillId="0" borderId="0" applyFont="0" applyFill="0" applyBorder="0" applyAlignment="0" applyProtection="0"/>
    <xf numFmtId="0" fontId="12" fillId="0" borderId="0" applyProtection="0"/>
    <xf numFmtId="0" fontId="12" fillId="0" borderId="0" applyProtection="0"/>
    <xf numFmtId="0" fontId="12" fillId="0" borderId="0" applyProtection="0"/>
    <xf numFmtId="0" fontId="11" fillId="0" borderId="0" applyFont="0" applyFill="0" applyBorder="0" applyAlignment="0" applyProtection="0"/>
    <xf numFmtId="2" fontId="12" fillId="0" borderId="0" applyProtection="0"/>
    <xf numFmtId="2" fontId="12" fillId="0" borderId="0" applyProtection="0"/>
    <xf numFmtId="2" fontId="12" fillId="0" borderId="0" applyProtection="0"/>
    <xf numFmtId="2" fontId="11" fillId="0" borderId="0" applyFont="0" applyFill="0" applyBorder="0" applyAlignment="0" applyProtection="0"/>
    <xf numFmtId="0" fontId="13" fillId="0" borderId="0" applyNumberFormat="0" applyFont="0" applyFill="0" applyAlignment="0" applyProtection="0"/>
    <xf numFmtId="0" fontId="13" fillId="0" borderId="0" applyNumberFormat="0" applyFont="0" applyFill="0" applyAlignment="0" applyProtection="0"/>
    <xf numFmtId="0" fontId="13" fillId="0" borderId="0" applyNumberFormat="0" applyFont="0" applyFill="0" applyAlignment="0" applyProtection="0"/>
    <xf numFmtId="0" fontId="13" fillId="0" borderId="0" applyNumberFormat="0" applyFont="0" applyFill="0" applyAlignment="0" applyProtection="0"/>
    <xf numFmtId="0" fontId="14" fillId="0" borderId="0" applyNumberFormat="0" applyFill="0" applyBorder="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6" fillId="0" borderId="0" applyNumberFormat="0" applyFill="0" applyBorder="0" applyAlignment="0" applyProtection="0"/>
    <xf numFmtId="0" fontId="13" fillId="0" borderId="0" applyProtection="0"/>
    <xf numFmtId="0" fontId="13" fillId="0" borderId="0" applyProtection="0"/>
    <xf numFmtId="0" fontId="13" fillId="0" borderId="0" applyProtection="0"/>
    <xf numFmtId="0" fontId="15" fillId="0" borderId="0" applyProtection="0"/>
    <xf numFmtId="0" fontId="15" fillId="0" borderId="0" applyProtection="0"/>
    <xf numFmtId="0" fontId="15" fillId="0" borderId="0" applyProtection="0"/>
    <xf numFmtId="0" fontId="17" fillId="0" borderId="0" applyNumberFormat="0" applyFill="0" applyBorder="0" applyAlignment="0" applyProtection="0">
      <alignment vertical="top"/>
      <protection locked="0"/>
    </xf>
    <xf numFmtId="0" fontId="9" fillId="0" borderId="0"/>
    <xf numFmtId="0" fontId="9" fillId="0" borderId="0"/>
    <xf numFmtId="0" fontId="1" fillId="0" borderId="0"/>
    <xf numFmtId="0" fontId="9" fillId="0" borderId="0"/>
    <xf numFmtId="0" fontId="9" fillId="0" borderId="0"/>
    <xf numFmtId="0" fontId="9" fillId="0" borderId="0"/>
    <xf numFmtId="0" fontId="11" fillId="0" borderId="0"/>
    <xf numFmtId="0" fontId="11" fillId="0" borderId="0"/>
    <xf numFmtId="0" fontId="11" fillId="0" borderId="0"/>
    <xf numFmtId="9" fontId="9" fillId="0" borderId="0" applyFont="0" applyFill="0" applyBorder="0" applyAlignment="0" applyProtection="0"/>
    <xf numFmtId="9" fontId="9" fillId="0" borderId="0" applyFont="0" applyFill="0" applyBorder="0" applyAlignment="0" applyProtection="0"/>
    <xf numFmtId="10" fontId="11" fillId="0" borderId="0" applyFont="0" applyFill="0" applyBorder="0" applyAlignment="0" applyProtection="0"/>
    <xf numFmtId="0" fontId="18" fillId="0" borderId="0" applyNumberFormat="0" applyFill="0" applyBorder="0" applyAlignment="0" applyProtection="0"/>
    <xf numFmtId="0" fontId="12" fillId="0" borderId="11" applyProtection="0"/>
    <xf numFmtId="0" fontId="12" fillId="0" borderId="11" applyProtection="0"/>
    <xf numFmtId="0" fontId="12" fillId="0" borderId="11" applyProtection="0"/>
    <xf numFmtId="0" fontId="12" fillId="0" borderId="11" applyProtection="0"/>
    <xf numFmtId="0" fontId="12" fillId="0" borderId="11" applyProtection="0"/>
    <xf numFmtId="0" fontId="12" fillId="0" borderId="11" applyProtection="0"/>
    <xf numFmtId="0" fontId="12" fillId="0" borderId="11" applyProtection="0"/>
    <xf numFmtId="0" fontId="12" fillId="0" borderId="11" applyProtection="0"/>
    <xf numFmtId="0" fontId="12" fillId="0" borderId="11" applyProtection="0"/>
    <xf numFmtId="0" fontId="12" fillId="0" borderId="11" applyProtection="0"/>
    <xf numFmtId="0" fontId="12" fillId="0" borderId="11" applyProtection="0"/>
    <xf numFmtId="0" fontId="12" fillId="0" borderId="11" applyProtection="0"/>
    <xf numFmtId="0" fontId="12" fillId="0" borderId="11" applyProtection="0"/>
    <xf numFmtId="0" fontId="12" fillId="0" borderId="11" applyProtection="0"/>
    <xf numFmtId="0" fontId="12" fillId="0" borderId="11" applyProtection="0"/>
    <xf numFmtId="0" fontId="12" fillId="0" borderId="11" applyProtection="0"/>
    <xf numFmtId="0" fontId="12" fillId="0" borderId="11" applyProtection="0"/>
    <xf numFmtId="0" fontId="12" fillId="0" borderId="11" applyProtection="0"/>
    <xf numFmtId="0" fontId="12" fillId="0" borderId="11" applyProtection="0"/>
    <xf numFmtId="0" fontId="12" fillId="0" borderId="11" applyProtection="0"/>
    <xf numFmtId="0" fontId="12" fillId="0" borderId="11" applyProtection="0"/>
    <xf numFmtId="0" fontId="12" fillId="0" borderId="11" applyProtection="0"/>
    <xf numFmtId="0" fontId="12" fillId="0" borderId="11" applyProtection="0"/>
    <xf numFmtId="0" fontId="12" fillId="0" borderId="11" applyProtection="0"/>
    <xf numFmtId="0" fontId="12" fillId="0" borderId="11" applyProtection="0"/>
    <xf numFmtId="0" fontId="12" fillId="0" borderId="11" applyProtection="0"/>
    <xf numFmtId="0" fontId="12" fillId="0" borderId="11" applyProtection="0"/>
    <xf numFmtId="0" fontId="12" fillId="0" borderId="11" applyProtection="0"/>
    <xf numFmtId="0" fontId="12" fillId="0" borderId="11" applyProtection="0"/>
    <xf numFmtId="0" fontId="12" fillId="0" borderId="11" applyProtection="0"/>
    <xf numFmtId="0" fontId="12" fillId="0" borderId="11" applyProtection="0"/>
    <xf numFmtId="0" fontId="12" fillId="0" borderId="11" applyProtection="0"/>
    <xf numFmtId="0" fontId="12" fillId="0" borderId="11" applyProtection="0"/>
    <xf numFmtId="0" fontId="12" fillId="0" borderId="11" applyProtection="0"/>
    <xf numFmtId="0" fontId="12" fillId="0" borderId="11" applyProtection="0"/>
    <xf numFmtId="0" fontId="12" fillId="0" borderId="11" applyProtection="0"/>
    <xf numFmtId="0" fontId="12" fillId="0" borderId="11" applyProtection="0"/>
    <xf numFmtId="0" fontId="12" fillId="0" borderId="11" applyProtection="0"/>
    <xf numFmtId="0" fontId="12" fillId="0" borderId="11" applyProtection="0"/>
    <xf numFmtId="0" fontId="12" fillId="0" borderId="11" applyProtection="0"/>
    <xf numFmtId="0" fontId="12" fillId="0" borderId="11" applyProtection="0"/>
    <xf numFmtId="0" fontId="12" fillId="0" borderId="11" applyProtection="0"/>
    <xf numFmtId="0" fontId="12" fillId="0" borderId="11" applyProtection="0"/>
    <xf numFmtId="0" fontId="12" fillId="0" borderId="11" applyProtection="0"/>
    <xf numFmtId="0" fontId="12" fillId="0" borderId="11" applyProtection="0"/>
    <xf numFmtId="0" fontId="12" fillId="0" borderId="11" applyProtection="0"/>
    <xf numFmtId="0" fontId="12" fillId="0" borderId="11" applyProtection="0"/>
    <xf numFmtId="0" fontId="12" fillId="0" borderId="11" applyProtection="0"/>
    <xf numFmtId="0" fontId="12" fillId="0" borderId="11" applyProtection="0"/>
    <xf numFmtId="0" fontId="12" fillId="0" borderId="11" applyProtection="0"/>
    <xf numFmtId="0" fontId="12" fillId="0" borderId="11" applyProtection="0"/>
    <xf numFmtId="0" fontId="12" fillId="0" borderId="11" applyProtection="0"/>
    <xf numFmtId="0" fontId="12" fillId="0" borderId="11" applyProtection="0"/>
    <xf numFmtId="0" fontId="12" fillId="0" borderId="11" applyProtection="0"/>
    <xf numFmtId="0" fontId="12" fillId="0" borderId="11" applyProtection="0"/>
    <xf numFmtId="0" fontId="11" fillId="0" borderId="12" applyNumberFormat="0" applyFont="0" applyFill="0" applyAlignment="0" applyProtection="0"/>
    <xf numFmtId="0" fontId="9" fillId="0" borderId="0"/>
  </cellStyleXfs>
  <cellXfs count="219">
    <xf numFmtId="0" fontId="0" fillId="0" borderId="0" xfId="0"/>
    <xf numFmtId="0" fontId="1" fillId="0" borderId="0" xfId="7"/>
    <xf numFmtId="0" fontId="3" fillId="0" borderId="0" xfId="7" applyFont="1"/>
    <xf numFmtId="0" fontId="1" fillId="0" borderId="0" xfId="7" applyAlignment="1">
      <alignment horizontal="right"/>
    </xf>
    <xf numFmtId="164" fontId="0" fillId="0" borderId="0" xfId="5" applyNumberFormat="1" applyFont="1"/>
    <xf numFmtId="165" fontId="0" fillId="0" borderId="0" xfId="2" applyNumberFormat="1" applyFont="1"/>
    <xf numFmtId="3" fontId="1" fillId="0" borderId="0" xfId="7" applyNumberFormat="1"/>
    <xf numFmtId="0" fontId="1" fillId="0" borderId="0" xfId="7" applyAlignment="1">
      <alignment horizontal="right" wrapText="1"/>
    </xf>
    <xf numFmtId="166" fontId="0" fillId="0" borderId="0" xfId="5" applyNumberFormat="1" applyFont="1"/>
    <xf numFmtId="0" fontId="1" fillId="0" borderId="10" xfId="7" applyBorder="1" applyAlignment="1">
      <alignment horizontal="right"/>
    </xf>
    <xf numFmtId="0" fontId="1" fillId="0" borderId="10" xfId="7" applyBorder="1"/>
    <xf numFmtId="43" fontId="1" fillId="0" borderId="0" xfId="7" applyNumberFormat="1"/>
    <xf numFmtId="164" fontId="1" fillId="0" borderId="0" xfId="7" applyNumberFormat="1"/>
    <xf numFmtId="167" fontId="0" fillId="0" borderId="0" xfId="5" applyNumberFormat="1" applyFont="1"/>
    <xf numFmtId="6" fontId="1" fillId="0" borderId="0" xfId="7" applyNumberFormat="1" applyFill="1"/>
    <xf numFmtId="9" fontId="0" fillId="0" borderId="0" xfId="16" applyFont="1"/>
    <xf numFmtId="6" fontId="1" fillId="0" borderId="0" xfId="7" applyNumberFormat="1"/>
    <xf numFmtId="0" fontId="1" fillId="0" borderId="0" xfId="7" applyAlignment="1"/>
    <xf numFmtId="0" fontId="1" fillId="0" borderId="10" xfId="7" applyBorder="1" applyAlignment="1"/>
    <xf numFmtId="0" fontId="1" fillId="0" borderId="0" xfId="7" applyAlignment="1">
      <alignment horizontal="left"/>
    </xf>
    <xf numFmtId="8" fontId="1" fillId="0" borderId="0" xfId="7" applyNumberFormat="1" applyAlignment="1">
      <alignment horizontal="right"/>
    </xf>
    <xf numFmtId="165" fontId="1" fillId="0" borderId="0" xfId="7" applyNumberFormat="1"/>
    <xf numFmtId="165" fontId="1" fillId="0" borderId="10" xfId="7" applyNumberFormat="1" applyBorder="1"/>
    <xf numFmtId="0" fontId="1" fillId="0" borderId="5" xfId="7" applyBorder="1" applyAlignment="1">
      <alignment horizontal="center"/>
    </xf>
    <xf numFmtId="1" fontId="1" fillId="0" borderId="5" xfId="7" applyNumberFormat="1" applyBorder="1"/>
    <xf numFmtId="0" fontId="1" fillId="0" borderId="5" xfId="7" applyBorder="1"/>
    <xf numFmtId="9" fontId="1" fillId="0" borderId="5" xfId="7" applyNumberFormat="1" applyBorder="1"/>
    <xf numFmtId="43" fontId="1" fillId="0" borderId="5" xfId="7" applyNumberFormat="1" applyBorder="1"/>
    <xf numFmtId="0" fontId="1" fillId="0" borderId="0" xfId="7" applyFill="1" applyBorder="1" applyAlignment="1">
      <alignment horizontal="right"/>
    </xf>
    <xf numFmtId="43" fontId="1" fillId="0" borderId="0" xfId="7" applyNumberFormat="1" applyBorder="1"/>
    <xf numFmtId="0" fontId="1" fillId="0" borderId="0" xfId="7" applyBorder="1"/>
    <xf numFmtId="0" fontId="1" fillId="0" borderId="0" xfId="7" applyBorder="1" applyAlignment="1">
      <alignment horizontal="right"/>
    </xf>
    <xf numFmtId="165" fontId="1" fillId="0" borderId="0" xfId="7" applyNumberFormat="1" applyBorder="1"/>
    <xf numFmtId="0" fontId="1" fillId="0" borderId="0" xfId="7" applyBorder="1" applyAlignment="1">
      <alignment horizontal="center"/>
    </xf>
    <xf numFmtId="165" fontId="1" fillId="0" borderId="5" xfId="2" applyNumberFormat="1" applyFont="1" applyFill="1" applyBorder="1"/>
    <xf numFmtId="9" fontId="1" fillId="0" borderId="5" xfId="1" applyFont="1" applyBorder="1"/>
    <xf numFmtId="0" fontId="1" fillId="0" borderId="0" xfId="58"/>
    <xf numFmtId="0" fontId="20" fillId="0" borderId="0" xfId="58" applyFont="1" applyAlignment="1">
      <alignment vertical="center"/>
    </xf>
    <xf numFmtId="0" fontId="1" fillId="0" borderId="0" xfId="58" applyFont="1" applyFill="1"/>
    <xf numFmtId="10" fontId="1" fillId="0" borderId="5" xfId="58" applyNumberFormat="1" applyFont="1" applyFill="1" applyBorder="1"/>
    <xf numFmtId="9" fontId="1" fillId="0" borderId="5" xfId="58" applyNumberFormat="1" applyFont="1" applyFill="1" applyBorder="1"/>
    <xf numFmtId="0" fontId="1" fillId="0" borderId="0" xfId="58" applyFont="1" applyFill="1" applyAlignment="1">
      <alignment horizontal="right"/>
    </xf>
    <xf numFmtId="0" fontId="20" fillId="0" borderId="4" xfId="58" applyFont="1" applyBorder="1" applyAlignment="1">
      <alignment horizontal="center" vertical="center"/>
    </xf>
    <xf numFmtId="37" fontId="20" fillId="0" borderId="5" xfId="58" applyNumberFormat="1" applyFont="1" applyBorder="1" applyAlignment="1">
      <alignment vertical="center"/>
    </xf>
    <xf numFmtId="1" fontId="20" fillId="0" borderId="6" xfId="58" applyNumberFormat="1" applyFont="1" applyBorder="1" applyAlignment="1">
      <alignment horizontal="center" vertical="center"/>
    </xf>
    <xf numFmtId="43" fontId="0" fillId="0" borderId="0" xfId="2" applyFont="1"/>
    <xf numFmtId="0" fontId="20" fillId="0" borderId="7" xfId="58" applyFont="1" applyBorder="1" applyAlignment="1">
      <alignment horizontal="center" vertical="center"/>
    </xf>
    <xf numFmtId="37" fontId="20" fillId="0" borderId="8" xfId="58" applyNumberFormat="1" applyFont="1" applyBorder="1" applyAlignment="1">
      <alignment vertical="center"/>
    </xf>
    <xf numFmtId="1" fontId="20" fillId="0" borderId="9" xfId="58" applyNumberFormat="1" applyFont="1" applyBorder="1" applyAlignment="1">
      <alignment horizontal="center" vertical="center"/>
    </xf>
    <xf numFmtId="1" fontId="20" fillId="0" borderId="0" xfId="58" applyNumberFormat="1" applyFont="1" applyAlignment="1">
      <alignment vertical="center"/>
    </xf>
    <xf numFmtId="165" fontId="0" fillId="0" borderId="5" xfId="2" applyNumberFormat="1" applyFont="1" applyFill="1" applyBorder="1"/>
    <xf numFmtId="169" fontId="1" fillId="0" borderId="5" xfId="16" applyNumberFormat="1" applyFont="1" applyFill="1" applyBorder="1"/>
    <xf numFmtId="43" fontId="1" fillId="0" borderId="5" xfId="2" applyNumberFormat="1" applyFont="1" applyFill="1" applyBorder="1"/>
    <xf numFmtId="9" fontId="0" fillId="0" borderId="5" xfId="16" applyFont="1" applyBorder="1"/>
    <xf numFmtId="0" fontId="1" fillId="0" borderId="14" xfId="58" applyFont="1" applyFill="1" applyBorder="1" applyAlignment="1">
      <alignment horizontal="right"/>
    </xf>
    <xf numFmtId="165" fontId="3" fillId="0" borderId="5" xfId="2" applyNumberFormat="1" applyFont="1" applyFill="1" applyBorder="1"/>
    <xf numFmtId="43" fontId="1" fillId="0" borderId="0" xfId="58" applyNumberFormat="1"/>
    <xf numFmtId="0" fontId="20" fillId="0" borderId="4" xfId="58" applyFont="1" applyBorder="1" applyAlignment="1">
      <alignment horizontal="center"/>
    </xf>
    <xf numFmtId="37" fontId="20" fillId="0" borderId="5" xfId="58" applyNumberFormat="1" applyFont="1" applyBorder="1" applyAlignment="1">
      <alignment horizontal="center"/>
    </xf>
    <xf numFmtId="37" fontId="20" fillId="0" borderId="6" xfId="58" applyNumberFormat="1" applyFont="1" applyBorder="1" applyAlignment="1">
      <alignment horizontal="center"/>
    </xf>
    <xf numFmtId="43" fontId="1" fillId="0" borderId="0" xfId="2" applyFont="1" applyFill="1"/>
    <xf numFmtId="165" fontId="1" fillId="0" borderId="0" xfId="2" applyNumberFormat="1" applyFont="1" applyFill="1"/>
    <xf numFmtId="165" fontId="1" fillId="0" borderId="0" xfId="58" applyNumberFormat="1" applyFont="1" applyFill="1"/>
    <xf numFmtId="0" fontId="1" fillId="0" borderId="0" xfId="58" applyFont="1" applyFill="1" applyBorder="1" applyAlignment="1">
      <alignment horizontal="right"/>
    </xf>
    <xf numFmtId="0" fontId="20" fillId="0" borderId="7" xfId="58" applyFont="1" applyBorder="1" applyAlignment="1">
      <alignment horizontal="center"/>
    </xf>
    <xf numFmtId="37" fontId="20" fillId="0" borderId="8" xfId="58" applyNumberFormat="1" applyFont="1" applyBorder="1" applyAlignment="1">
      <alignment horizontal="center"/>
    </xf>
    <xf numFmtId="37" fontId="20" fillId="0" borderId="9" xfId="58" applyNumberFormat="1" applyFont="1" applyBorder="1" applyAlignment="1">
      <alignment horizontal="center"/>
    </xf>
    <xf numFmtId="0" fontId="1" fillId="0" borderId="5" xfId="58" applyBorder="1"/>
    <xf numFmtId="43" fontId="1" fillId="0" borderId="5" xfId="58" applyNumberFormat="1" applyBorder="1"/>
    <xf numFmtId="0" fontId="1" fillId="0" borderId="0" xfId="58" applyBorder="1"/>
    <xf numFmtId="43" fontId="0" fillId="0" borderId="0" xfId="2" applyFont="1" applyBorder="1"/>
    <xf numFmtId="0" fontId="3" fillId="0" borderId="0" xfId="125" applyFont="1" applyFill="1" applyBorder="1"/>
    <xf numFmtId="0" fontId="9" fillId="0" borderId="0" xfId="125" applyFill="1" applyBorder="1"/>
    <xf numFmtId="0" fontId="3" fillId="0" borderId="0" xfId="125" applyFont="1" applyFill="1" applyBorder="1" applyAlignment="1">
      <alignment horizontal="right"/>
    </xf>
    <xf numFmtId="1" fontId="3" fillId="0" borderId="0" xfId="125" applyNumberFormat="1" applyFont="1" applyFill="1" applyBorder="1"/>
    <xf numFmtId="10" fontId="1" fillId="0" borderId="0" xfId="58" applyNumberFormat="1" applyFont="1" applyFill="1" applyBorder="1"/>
    <xf numFmtId="9" fontId="1" fillId="0" borderId="0" xfId="58" applyNumberFormat="1" applyFont="1" applyFill="1" applyBorder="1"/>
    <xf numFmtId="43" fontId="1" fillId="0" borderId="0" xfId="58" applyNumberFormat="1" applyBorder="1"/>
    <xf numFmtId="0" fontId="3" fillId="0" borderId="1" xfId="58" applyFont="1" applyBorder="1"/>
    <xf numFmtId="0" fontId="3" fillId="0" borderId="2" xfId="58" applyFont="1" applyBorder="1"/>
    <xf numFmtId="0" fontId="3" fillId="0" borderId="1" xfId="58" applyFont="1" applyBorder="1" applyAlignment="1">
      <alignment horizontal="center"/>
    </xf>
    <xf numFmtId="0" fontId="3" fillId="0" borderId="0" xfId="58" applyFont="1" applyBorder="1"/>
    <xf numFmtId="0" fontId="1" fillId="0" borderId="4" xfId="58" applyBorder="1"/>
    <xf numFmtId="8" fontId="1" fillId="0" borderId="5" xfId="58" applyNumberFormat="1" applyBorder="1" applyAlignment="1">
      <alignment horizontal="center"/>
    </xf>
    <xf numFmtId="0" fontId="3" fillId="0" borderId="4" xfId="58" applyFont="1" applyBorder="1" applyAlignment="1">
      <alignment horizontal="center"/>
    </xf>
    <xf numFmtId="170" fontId="1" fillId="0" borderId="5" xfId="58" applyNumberFormat="1" applyBorder="1" applyAlignment="1">
      <alignment horizontal="center"/>
    </xf>
    <xf numFmtId="170" fontId="1" fillId="0" borderId="6" xfId="58" applyNumberFormat="1" applyBorder="1" applyAlignment="1">
      <alignment horizontal="center"/>
    </xf>
    <xf numFmtId="170" fontId="1" fillId="0" borderId="0" xfId="58" applyNumberFormat="1" applyBorder="1"/>
    <xf numFmtId="0" fontId="1" fillId="0" borderId="7" xfId="58" applyBorder="1"/>
    <xf numFmtId="8" fontId="1" fillId="0" borderId="8" xfId="58" applyNumberFormat="1" applyBorder="1" applyAlignment="1">
      <alignment horizontal="center"/>
    </xf>
    <xf numFmtId="0" fontId="23" fillId="0" borderId="22" xfId="58" applyFont="1" applyBorder="1"/>
    <xf numFmtId="0" fontId="23" fillId="0" borderId="0" xfId="58" applyFont="1" applyAlignment="1">
      <alignment wrapText="1"/>
    </xf>
    <xf numFmtId="0" fontId="1" fillId="0" borderId="4" xfId="58" applyBorder="1" applyAlignment="1">
      <alignment horizontal="center"/>
    </xf>
    <xf numFmtId="170" fontId="1" fillId="0" borderId="0" xfId="58" applyNumberFormat="1" applyFill="1" applyBorder="1"/>
    <xf numFmtId="0" fontId="1" fillId="0" borderId="0" xfId="58" applyFill="1" applyBorder="1" applyAlignment="1">
      <alignment horizontal="center"/>
    </xf>
    <xf numFmtId="0" fontId="3" fillId="0" borderId="7" xfId="58" applyFont="1" applyBorder="1"/>
    <xf numFmtId="170" fontId="24" fillId="0" borderId="8" xfId="58" applyNumberFormat="1" applyFont="1" applyBorder="1" applyAlignment="1">
      <alignment horizontal="center"/>
    </xf>
    <xf numFmtId="170" fontId="22" fillId="0" borderId="9" xfId="58" applyNumberFormat="1" applyFont="1" applyBorder="1" applyAlignment="1">
      <alignment horizontal="center"/>
    </xf>
    <xf numFmtId="170" fontId="2" fillId="0" borderId="0" xfId="58" applyNumberFormat="1" applyFont="1" applyBorder="1"/>
    <xf numFmtId="170" fontId="22" fillId="0" borderId="0" xfId="58" applyNumberFormat="1" applyFont="1" applyFill="1" applyBorder="1"/>
    <xf numFmtId="0" fontId="1" fillId="0" borderId="7" xfId="58" applyBorder="1" applyAlignment="1">
      <alignment horizontal="center"/>
    </xf>
    <xf numFmtId="170" fontId="1" fillId="0" borderId="0" xfId="58" applyNumberFormat="1"/>
    <xf numFmtId="0" fontId="3" fillId="0" borderId="0" xfId="58" applyFont="1"/>
    <xf numFmtId="0" fontId="1" fillId="0" borderId="0" xfId="58" applyAlignment="1">
      <alignment horizontal="right"/>
    </xf>
    <xf numFmtId="3" fontId="1" fillId="0" borderId="0" xfId="58" applyNumberFormat="1"/>
    <xf numFmtId="0" fontId="1" fillId="0" borderId="0" xfId="58" applyAlignment="1">
      <alignment horizontal="right" wrapText="1"/>
    </xf>
    <xf numFmtId="0" fontId="1" fillId="0" borderId="10" xfId="58" applyBorder="1" applyAlignment="1">
      <alignment horizontal="right"/>
    </xf>
    <xf numFmtId="0" fontId="1" fillId="0" borderId="10" xfId="58" applyBorder="1"/>
    <xf numFmtId="164" fontId="1" fillId="0" borderId="0" xfId="58" applyNumberFormat="1"/>
    <xf numFmtId="6" fontId="1" fillId="0" borderId="0" xfId="58" applyNumberFormat="1" applyFill="1"/>
    <xf numFmtId="6" fontId="1" fillId="0" borderId="0" xfId="58" applyNumberFormat="1"/>
    <xf numFmtId="0" fontId="1" fillId="0" borderId="0" xfId="58" applyAlignment="1"/>
    <xf numFmtId="6" fontId="1" fillId="0" borderId="10" xfId="58" applyNumberFormat="1" applyBorder="1"/>
    <xf numFmtId="0" fontId="1" fillId="0" borderId="10" xfId="58" applyBorder="1" applyAlignment="1"/>
    <xf numFmtId="8" fontId="1" fillId="0" borderId="0" xfId="58" applyNumberFormat="1" applyAlignment="1">
      <alignment horizontal="right" indent="2"/>
    </xf>
    <xf numFmtId="43" fontId="1" fillId="0" borderId="10" xfId="58" applyNumberFormat="1" applyBorder="1"/>
    <xf numFmtId="1" fontId="1" fillId="0" borderId="5" xfId="58" applyNumberFormat="1" applyBorder="1"/>
    <xf numFmtId="9" fontId="1" fillId="0" borderId="5" xfId="58" applyNumberFormat="1" applyBorder="1"/>
    <xf numFmtId="0" fontId="1" fillId="0" borderId="0" xfId="58" applyFill="1" applyBorder="1" applyAlignment="1">
      <alignment horizontal="right"/>
    </xf>
    <xf numFmtId="0" fontId="1" fillId="0" borderId="0" xfId="58" applyBorder="1" applyAlignment="1">
      <alignment horizontal="right"/>
    </xf>
    <xf numFmtId="0" fontId="1" fillId="0" borderId="0" xfId="58" applyBorder="1" applyAlignment="1">
      <alignment horizontal="center"/>
    </xf>
    <xf numFmtId="8" fontId="1" fillId="0" borderId="0" xfId="58" applyNumberFormat="1" applyAlignment="1"/>
    <xf numFmtId="165" fontId="1" fillId="0" borderId="0" xfId="58" applyNumberFormat="1"/>
    <xf numFmtId="165" fontId="1" fillId="0" borderId="10" xfId="58" applyNumberFormat="1" applyBorder="1"/>
    <xf numFmtId="0" fontId="1" fillId="0" borderId="0" xfId="58" applyAlignment="1">
      <alignment horizontal="center"/>
    </xf>
    <xf numFmtId="0" fontId="1" fillId="0" borderId="24" xfId="58" applyBorder="1"/>
    <xf numFmtId="0" fontId="1" fillId="0" borderId="13" xfId="58" applyBorder="1"/>
    <xf numFmtId="0" fontId="1" fillId="0" borderId="31" xfId="58" applyBorder="1"/>
    <xf numFmtId="0" fontId="1" fillId="0" borderId="8" xfId="58" applyBorder="1"/>
    <xf numFmtId="0" fontId="3" fillId="0" borderId="0" xfId="58" applyFont="1" applyAlignment="1">
      <alignment horizontal="right"/>
    </xf>
    <xf numFmtId="1" fontId="3" fillId="0" borderId="0" xfId="58" applyNumberFormat="1" applyFont="1"/>
    <xf numFmtId="8" fontId="1" fillId="0" borderId="0" xfId="58" applyNumberFormat="1" applyAlignment="1">
      <alignment horizontal="right"/>
    </xf>
    <xf numFmtId="44" fontId="0" fillId="0" borderId="0" xfId="5" applyFont="1"/>
    <xf numFmtId="6" fontId="1" fillId="0" borderId="0" xfId="58" applyNumberFormat="1" applyAlignment="1">
      <alignment horizontal="right"/>
    </xf>
    <xf numFmtId="1" fontId="1" fillId="0" borderId="0" xfId="58" applyNumberFormat="1" applyBorder="1"/>
    <xf numFmtId="9" fontId="1" fillId="0" borderId="0" xfId="58" applyNumberFormat="1" applyBorder="1"/>
    <xf numFmtId="0" fontId="1" fillId="0" borderId="5" xfId="58" applyBorder="1" applyAlignment="1">
      <alignment horizontal="left" indent="7"/>
    </xf>
    <xf numFmtId="43" fontId="1" fillId="0" borderId="5" xfId="58" applyNumberFormat="1" applyBorder="1" applyAlignment="1">
      <alignment horizontal="left" indent="5"/>
    </xf>
    <xf numFmtId="0" fontId="1" fillId="0" borderId="5" xfId="58" applyBorder="1" applyAlignment="1">
      <alignment horizontal="right"/>
    </xf>
    <xf numFmtId="43" fontId="1" fillId="0" borderId="32" xfId="58" applyNumberFormat="1" applyBorder="1" applyAlignment="1">
      <alignment horizontal="left" indent="5"/>
    </xf>
    <xf numFmtId="0" fontId="1" fillId="0" borderId="0" xfId="58" applyNumberFormat="1"/>
    <xf numFmtId="6" fontId="26" fillId="0" borderId="0" xfId="0" applyNumberFormat="1" applyFont="1" applyFill="1" applyBorder="1" applyAlignment="1"/>
    <xf numFmtId="6" fontId="26" fillId="0" borderId="10" xfId="0" applyNumberFormat="1" applyFont="1" applyFill="1" applyBorder="1" applyAlignment="1"/>
    <xf numFmtId="0" fontId="1" fillId="0" borderId="5" xfId="58" applyBorder="1" applyAlignment="1">
      <alignment horizontal="center"/>
    </xf>
    <xf numFmtId="0" fontId="3" fillId="0" borderId="2" xfId="58" applyFont="1" applyBorder="1" applyAlignment="1">
      <alignment horizontal="center"/>
    </xf>
    <xf numFmtId="0" fontId="1" fillId="0" borderId="0" xfId="58" applyAlignment="1">
      <alignment horizontal="left"/>
    </xf>
    <xf numFmtId="0" fontId="21" fillId="0" borderId="3" xfId="58" applyFont="1" applyBorder="1" applyAlignment="1">
      <alignment horizontal="center"/>
    </xf>
    <xf numFmtId="0" fontId="3" fillId="0" borderId="5" xfId="58" applyFont="1" applyBorder="1" applyAlignment="1">
      <alignment horizontal="center"/>
    </xf>
    <xf numFmtId="0" fontId="1" fillId="0" borderId="0" xfId="58" applyFill="1" applyAlignment="1">
      <alignment horizontal="center" vertical="center" wrapText="1"/>
    </xf>
    <xf numFmtId="0" fontId="1" fillId="0" borderId="0" xfId="7" applyFill="1" applyAlignment="1">
      <alignment horizontal="center" vertical="center" wrapText="1"/>
    </xf>
    <xf numFmtId="43" fontId="1" fillId="0" borderId="0" xfId="58" applyNumberFormat="1" applyBorder="1" applyAlignment="1">
      <alignment horizontal="center" wrapText="1"/>
    </xf>
    <xf numFmtId="0" fontId="1" fillId="0" borderId="0" xfId="58" applyBorder="1" applyAlignment="1">
      <alignment horizontal="center" wrapText="1"/>
    </xf>
    <xf numFmtId="37" fontId="20" fillId="0" borderId="5" xfId="58" applyNumberFormat="1" applyFont="1" applyBorder="1" applyAlignment="1">
      <alignment horizontal="center" vertical="center"/>
    </xf>
    <xf numFmtId="0" fontId="20" fillId="0" borderId="5" xfId="58" applyFont="1" applyBorder="1" applyAlignment="1">
      <alignment horizontal="center" vertical="center"/>
    </xf>
    <xf numFmtId="37" fontId="20" fillId="0" borderId="8" xfId="58" applyNumberFormat="1" applyFont="1" applyBorder="1" applyAlignment="1">
      <alignment horizontal="center" vertical="center"/>
    </xf>
    <xf numFmtId="0" fontId="20" fillId="0" borderId="8" xfId="58" applyFont="1" applyBorder="1" applyAlignment="1">
      <alignment horizontal="center" vertical="center"/>
    </xf>
    <xf numFmtId="0" fontId="5" fillId="0" borderId="1" xfId="58" applyFont="1" applyFill="1" applyBorder="1" applyAlignment="1">
      <alignment horizontal="center" wrapText="1"/>
    </xf>
    <xf numFmtId="0" fontId="5" fillId="0" borderId="4" xfId="58" applyFont="1" applyFill="1" applyBorder="1" applyAlignment="1">
      <alignment horizontal="center" wrapText="1"/>
    </xf>
    <xf numFmtId="0" fontId="5" fillId="0" borderId="2" xfId="58" applyFont="1" applyBorder="1" applyAlignment="1">
      <alignment horizontal="center" wrapText="1"/>
    </xf>
    <xf numFmtId="0" fontId="5" fillId="0" borderId="5" xfId="58" applyFont="1" applyBorder="1" applyAlignment="1">
      <alignment horizontal="center" wrapText="1"/>
    </xf>
    <xf numFmtId="0" fontId="5" fillId="0" borderId="3" xfId="58" applyFont="1" applyBorder="1" applyAlignment="1">
      <alignment horizontal="center" wrapText="1"/>
    </xf>
    <xf numFmtId="0" fontId="5" fillId="0" borderId="6" xfId="58" applyFont="1" applyBorder="1" applyAlignment="1">
      <alignment horizontal="center" wrapText="1"/>
    </xf>
    <xf numFmtId="0" fontId="19" fillId="0" borderId="0" xfId="58" applyFont="1" applyAlignment="1">
      <alignment horizontal="left" vertical="center" wrapText="1"/>
    </xf>
    <xf numFmtId="0" fontId="1" fillId="0" borderId="5" xfId="58" applyBorder="1" applyAlignment="1">
      <alignment horizontal="center"/>
    </xf>
    <xf numFmtId="0" fontId="5" fillId="0" borderId="1" xfId="58" applyFont="1" applyFill="1" applyBorder="1" applyAlignment="1">
      <alignment horizontal="center" vertical="center" wrapText="1"/>
    </xf>
    <xf numFmtId="0" fontId="5" fillId="0" borderId="4" xfId="58" applyFont="1" applyFill="1" applyBorder="1" applyAlignment="1">
      <alignment horizontal="center" vertical="center" wrapText="1"/>
    </xf>
    <xf numFmtId="0" fontId="5" fillId="0" borderId="2" xfId="58" applyFont="1" applyBorder="1" applyAlignment="1">
      <alignment horizontal="center" vertical="center" wrapText="1"/>
    </xf>
    <xf numFmtId="0" fontId="5" fillId="0" borderId="5" xfId="58" applyFont="1" applyBorder="1" applyAlignment="1">
      <alignment horizontal="center" vertical="center" wrapText="1"/>
    </xf>
    <xf numFmtId="0" fontId="5" fillId="0" borderId="3" xfId="58" applyFont="1" applyBorder="1" applyAlignment="1">
      <alignment horizontal="center" vertical="center" wrapText="1"/>
    </xf>
    <xf numFmtId="0" fontId="5" fillId="0" borderId="6" xfId="58" applyFont="1" applyBorder="1" applyAlignment="1">
      <alignment horizontal="center" vertical="center" wrapText="1"/>
    </xf>
    <xf numFmtId="0" fontId="1" fillId="2" borderId="29" xfId="58" applyFill="1" applyBorder="1" applyAlignment="1">
      <alignment horizontal="center"/>
    </xf>
    <xf numFmtId="0" fontId="1" fillId="2" borderId="15" xfId="58" applyFill="1" applyBorder="1" applyAlignment="1">
      <alignment horizontal="center"/>
    </xf>
    <xf numFmtId="0" fontId="1" fillId="2" borderId="30" xfId="58" applyFill="1" applyBorder="1" applyAlignment="1">
      <alignment horizontal="center"/>
    </xf>
    <xf numFmtId="171" fontId="1" fillId="0" borderId="5" xfId="58" applyNumberFormat="1" applyBorder="1" applyAlignment="1">
      <alignment horizontal="center"/>
    </xf>
    <xf numFmtId="171" fontId="1" fillId="0" borderId="6" xfId="58" applyNumberFormat="1" applyBorder="1" applyAlignment="1">
      <alignment horizontal="center"/>
    </xf>
    <xf numFmtId="171" fontId="1" fillId="0" borderId="8" xfId="58" applyNumberFormat="1" applyBorder="1" applyAlignment="1">
      <alignment horizontal="center"/>
    </xf>
    <xf numFmtId="171" fontId="1" fillId="0" borderId="9" xfId="58" applyNumberFormat="1" applyBorder="1" applyAlignment="1">
      <alignment horizontal="center"/>
    </xf>
    <xf numFmtId="0" fontId="1" fillId="2" borderId="4" xfId="58" applyFill="1" applyBorder="1" applyAlignment="1">
      <alignment horizontal="center"/>
    </xf>
    <xf numFmtId="0" fontId="1" fillId="2" borderId="5" xfId="58" applyFill="1" applyBorder="1" applyAlignment="1">
      <alignment horizontal="center"/>
    </xf>
    <xf numFmtId="0" fontId="1" fillId="2" borderId="6" xfId="58" applyFill="1" applyBorder="1" applyAlignment="1">
      <alignment horizontal="center"/>
    </xf>
    <xf numFmtId="0" fontId="1" fillId="0" borderId="25" xfId="58" applyBorder="1" applyAlignment="1">
      <alignment horizontal="left" vertical="top" wrapText="1"/>
    </xf>
    <xf numFmtId="0" fontId="1" fillId="0" borderId="26" xfId="58" applyBorder="1" applyAlignment="1">
      <alignment horizontal="left" vertical="top" wrapText="1"/>
    </xf>
    <xf numFmtId="0" fontId="1" fillId="0" borderId="17" xfId="58" applyBorder="1" applyAlignment="1">
      <alignment horizontal="left" vertical="top" wrapText="1"/>
    </xf>
    <xf numFmtId="0" fontId="1" fillId="0" borderId="27" xfId="58" applyBorder="1" applyAlignment="1">
      <alignment horizontal="left" vertical="top" wrapText="1"/>
    </xf>
    <xf numFmtId="0" fontId="1" fillId="0" borderId="0" xfId="58" applyBorder="1" applyAlignment="1">
      <alignment horizontal="left" vertical="top" wrapText="1"/>
    </xf>
    <xf numFmtId="0" fontId="1" fillId="0" borderId="19" xfId="58" applyBorder="1" applyAlignment="1">
      <alignment horizontal="left" vertical="top" wrapText="1"/>
    </xf>
    <xf numFmtId="0" fontId="1" fillId="0" borderId="28" xfId="58" applyBorder="1" applyAlignment="1">
      <alignment horizontal="left" vertical="top" wrapText="1"/>
    </xf>
    <xf numFmtId="0" fontId="1" fillId="0" borderId="13" xfId="58" applyBorder="1" applyAlignment="1">
      <alignment horizontal="left" vertical="top" wrapText="1"/>
    </xf>
    <xf numFmtId="0" fontId="1" fillId="0" borderId="21" xfId="58" applyBorder="1" applyAlignment="1">
      <alignment horizontal="left" vertical="top" wrapText="1"/>
    </xf>
    <xf numFmtId="0" fontId="1" fillId="0" borderId="28" xfId="58" applyBorder="1" applyAlignment="1">
      <alignment horizontal="left"/>
    </xf>
    <xf numFmtId="0" fontId="1" fillId="0" borderId="13" xfId="58" applyBorder="1" applyAlignment="1">
      <alignment horizontal="left"/>
    </xf>
    <xf numFmtId="0" fontId="1" fillId="0" borderId="21" xfId="58" applyBorder="1" applyAlignment="1">
      <alignment horizontal="left"/>
    </xf>
    <xf numFmtId="3" fontId="1" fillId="0" borderId="5" xfId="58" applyNumberFormat="1" applyBorder="1" applyAlignment="1">
      <alignment horizontal="center"/>
    </xf>
    <xf numFmtId="3" fontId="1" fillId="0" borderId="23" xfId="58" applyNumberFormat="1" applyBorder="1" applyAlignment="1">
      <alignment horizontal="center"/>
    </xf>
    <xf numFmtId="3" fontId="1" fillId="0" borderId="24" xfId="58" applyNumberFormat="1" applyBorder="1" applyAlignment="1">
      <alignment horizontal="center"/>
    </xf>
    <xf numFmtId="0" fontId="3" fillId="0" borderId="2" xfId="58" applyFont="1" applyBorder="1" applyAlignment="1">
      <alignment horizontal="center"/>
    </xf>
    <xf numFmtId="0" fontId="3" fillId="0" borderId="3" xfId="58" applyFont="1" applyBorder="1" applyAlignment="1">
      <alignment horizontal="center"/>
    </xf>
    <xf numFmtId="0" fontId="1" fillId="0" borderId="27" xfId="58" applyBorder="1" applyAlignment="1">
      <alignment horizontal="left"/>
    </xf>
    <xf numFmtId="0" fontId="1" fillId="0" borderId="0" xfId="58" applyAlignment="1">
      <alignment horizontal="left"/>
    </xf>
    <xf numFmtId="0" fontId="1" fillId="0" borderId="19" xfId="58" applyBorder="1" applyAlignment="1">
      <alignment horizontal="left"/>
    </xf>
    <xf numFmtId="3" fontId="0" fillId="0" borderId="23" xfId="2" applyNumberFormat="1" applyFont="1" applyBorder="1" applyAlignment="1">
      <alignment horizontal="center"/>
    </xf>
    <xf numFmtId="3" fontId="0" fillId="0" borderId="24" xfId="2" applyNumberFormat="1" applyFont="1" applyBorder="1" applyAlignment="1">
      <alignment horizontal="center"/>
    </xf>
    <xf numFmtId="0" fontId="1" fillId="0" borderId="20" xfId="58" applyBorder="1" applyAlignment="1">
      <alignment horizontal="center"/>
    </xf>
    <xf numFmtId="0" fontId="1" fillId="0" borderId="21" xfId="58" applyBorder="1" applyAlignment="1">
      <alignment horizontal="center"/>
    </xf>
    <xf numFmtId="8" fontId="22" fillId="0" borderId="7" xfId="58" applyNumberFormat="1" applyFont="1" applyBorder="1" applyAlignment="1">
      <alignment horizontal="center"/>
    </xf>
    <xf numFmtId="0" fontId="22" fillId="0" borderId="9" xfId="58" applyFont="1" applyBorder="1" applyAlignment="1">
      <alignment horizontal="center"/>
    </xf>
    <xf numFmtId="3" fontId="0" fillId="0" borderId="5" xfId="2" applyNumberFormat="1" applyFont="1" applyBorder="1" applyAlignment="1">
      <alignment horizontal="center"/>
    </xf>
    <xf numFmtId="0" fontId="1" fillId="0" borderId="25" xfId="58" applyBorder="1" applyAlignment="1">
      <alignment horizontal="left"/>
    </xf>
    <xf numFmtId="0" fontId="1" fillId="0" borderId="26" xfId="58" applyBorder="1" applyAlignment="1">
      <alignment horizontal="left"/>
    </xf>
    <xf numFmtId="0" fontId="1" fillId="0" borderId="17" xfId="58" applyBorder="1" applyAlignment="1">
      <alignment horizontal="left"/>
    </xf>
    <xf numFmtId="0" fontId="1" fillId="0" borderId="18" xfId="58" applyBorder="1" applyAlignment="1">
      <alignment horizontal="center"/>
    </xf>
    <xf numFmtId="0" fontId="1" fillId="0" borderId="19" xfId="58" applyBorder="1" applyAlignment="1">
      <alignment horizontal="center"/>
    </xf>
    <xf numFmtId="8" fontId="22" fillId="0" borderId="4" xfId="58" applyNumberFormat="1" applyFont="1" applyBorder="1" applyAlignment="1">
      <alignment horizontal="center"/>
    </xf>
    <xf numFmtId="0" fontId="22" fillId="0" borderId="6" xfId="58" applyFont="1" applyBorder="1" applyAlignment="1">
      <alignment horizontal="center"/>
    </xf>
    <xf numFmtId="0" fontId="3" fillId="0" borderId="16" xfId="58" applyFont="1" applyBorder="1" applyAlignment="1">
      <alignment horizontal="center"/>
    </xf>
    <xf numFmtId="0" fontId="3" fillId="0" borderId="17" xfId="58" applyFont="1" applyBorder="1" applyAlignment="1">
      <alignment horizontal="center"/>
    </xf>
    <xf numFmtId="0" fontId="21" fillId="0" borderId="1" xfId="58" applyFont="1" applyBorder="1" applyAlignment="1">
      <alignment horizontal="center"/>
    </xf>
    <xf numFmtId="0" fontId="21" fillId="0" borderId="3" xfId="58" applyFont="1" applyBorder="1" applyAlignment="1">
      <alignment horizontal="center"/>
    </xf>
    <xf numFmtId="0" fontId="3" fillId="0" borderId="5" xfId="58" applyFont="1" applyBorder="1" applyAlignment="1">
      <alignment horizontal="center"/>
    </xf>
  </cellXfs>
  <cellStyles count="126">
    <cellStyle name="Comma 2" xfId="2"/>
    <cellStyle name="Comma 2 2" xfId="3"/>
    <cellStyle name="Comma 3" xfId="4"/>
    <cellStyle name="Comma 4" xfId="17"/>
    <cellStyle name="Comma 5" xfId="18"/>
    <cellStyle name="Comma 6" xfId="19"/>
    <cellStyle name="Comma 7" xfId="20"/>
    <cellStyle name="Comma 7 2" xfId="21"/>
    <cellStyle name="Comma0" xfId="22"/>
    <cellStyle name="Comma0 2" xfId="23"/>
    <cellStyle name="Comma0 3" xfId="24"/>
    <cellStyle name="Comma0 4" xfId="25"/>
    <cellStyle name="Currency 2" xfId="5"/>
    <cellStyle name="Currency 3" xfId="26"/>
    <cellStyle name="Currency0" xfId="27"/>
    <cellStyle name="Currency0 2" xfId="28"/>
    <cellStyle name="Currency0 3" xfId="29"/>
    <cellStyle name="Currency0 4" xfId="30"/>
    <cellStyle name="Date" xfId="31"/>
    <cellStyle name="Date 2" xfId="32"/>
    <cellStyle name="Date 3" xfId="33"/>
    <cellStyle name="Date 4" xfId="34"/>
    <cellStyle name="Fixed" xfId="35"/>
    <cellStyle name="Fixed 2" xfId="36"/>
    <cellStyle name="Fixed 3" xfId="37"/>
    <cellStyle name="Fixed 4" xfId="38"/>
    <cellStyle name="Heading 1 2" xfId="39"/>
    <cellStyle name="Heading 1 3" xfId="40"/>
    <cellStyle name="Heading 1 4" xfId="41"/>
    <cellStyle name="Heading 1 5" xfId="42"/>
    <cellStyle name="Heading 1 6" xfId="43"/>
    <cellStyle name="Heading 2 2" xfId="44"/>
    <cellStyle name="Heading 2 3" xfId="45"/>
    <cellStyle name="Heading 2 4" xfId="46"/>
    <cellStyle name="Heading 2 5" xfId="47"/>
    <cellStyle name="Heading 2 6" xfId="48"/>
    <cellStyle name="HEADING1" xfId="49"/>
    <cellStyle name="HEADING1 2" xfId="50"/>
    <cellStyle name="HEADING1 3" xfId="51"/>
    <cellStyle name="HEADING2" xfId="52"/>
    <cellStyle name="HEADING2 2" xfId="53"/>
    <cellStyle name="HEADING2 3" xfId="54"/>
    <cellStyle name="Hyperlink 2" xfId="55"/>
    <cellStyle name="Normal" xfId="0" builtinId="0"/>
    <cellStyle name="Normal 10" xfId="56"/>
    <cellStyle name="Normal 10 2" xfId="57"/>
    <cellStyle name="Normal 12" xfId="58"/>
    <cellStyle name="Normal 2" xfId="6"/>
    <cellStyle name="Normal 2 2" xfId="7"/>
    <cellStyle name="Normal 3" xfId="8"/>
    <cellStyle name="Normal 3 2" xfId="9"/>
    <cellStyle name="Normal 4" xfId="10"/>
    <cellStyle name="Normal 4 2" xfId="11"/>
    <cellStyle name="Normal 4 3" xfId="125"/>
    <cellStyle name="Normal 5" xfId="12"/>
    <cellStyle name="Normal 6" xfId="59"/>
    <cellStyle name="Normal 7" xfId="60"/>
    <cellStyle name="Normal 7 2" xfId="61"/>
    <cellStyle name="Normal 8" xfId="62"/>
    <cellStyle name="Normal 9" xfId="63"/>
    <cellStyle name="Normal 9 2" xfId="64"/>
    <cellStyle name="Percent" xfId="1" builtinId="5"/>
    <cellStyle name="Percent 2" xfId="13"/>
    <cellStyle name="Percent 2 2" xfId="14"/>
    <cellStyle name="Percent 3" xfId="15"/>
    <cellStyle name="Percent 4" xfId="16"/>
    <cellStyle name="Percent 5" xfId="65"/>
    <cellStyle name="Percent 5 2" xfId="66"/>
    <cellStyle name="Percent 6" xfId="67"/>
    <cellStyle name="Title 2" xfId="68"/>
    <cellStyle name="Total 2" xfId="69"/>
    <cellStyle name="Total 2 2" xfId="70"/>
    <cellStyle name="Total 2 2 2" xfId="71"/>
    <cellStyle name="Total 2 2 2 2" xfId="72"/>
    <cellStyle name="Total 2 2 3" xfId="73"/>
    <cellStyle name="Total 2 3" xfId="74"/>
    <cellStyle name="Total 2 3 2" xfId="75"/>
    <cellStyle name="Total 2 4" xfId="76"/>
    <cellStyle name="Total 2 4 2" xfId="77"/>
    <cellStyle name="Total 2 5" xfId="78"/>
    <cellStyle name="Total 2 5 2" xfId="79"/>
    <cellStyle name="Total 2 6" xfId="80"/>
    <cellStyle name="Total 2 6 2" xfId="81"/>
    <cellStyle name="Total 2 7" xfId="82"/>
    <cellStyle name="Total 2 7 2" xfId="83"/>
    <cellStyle name="Total 2 8" xfId="84"/>
    <cellStyle name="Total 2 8 2" xfId="85"/>
    <cellStyle name="Total 3" xfId="86"/>
    <cellStyle name="Total 3 2" xfId="87"/>
    <cellStyle name="Total 3 2 2" xfId="88"/>
    <cellStyle name="Total 3 2 2 2" xfId="89"/>
    <cellStyle name="Total 3 2 3" xfId="90"/>
    <cellStyle name="Total 3 3" xfId="91"/>
    <cellStyle name="Total 3 3 2" xfId="92"/>
    <cellStyle name="Total 3 4" xfId="93"/>
    <cellStyle name="Total 3 4 2" xfId="94"/>
    <cellStyle name="Total 3 5" xfId="95"/>
    <cellStyle name="Total 3 5 2" xfId="96"/>
    <cellStyle name="Total 3 6" xfId="97"/>
    <cellStyle name="Total 3 6 2" xfId="98"/>
    <cellStyle name="Total 3 7" xfId="99"/>
    <cellStyle name="Total 3 7 2" xfId="100"/>
    <cellStyle name="Total 3 8" xfId="101"/>
    <cellStyle name="Total 3 8 2" xfId="102"/>
    <cellStyle name="Total 4" xfId="103"/>
    <cellStyle name="Total 4 2" xfId="104"/>
    <cellStyle name="Total 4 2 2" xfId="105"/>
    <cellStyle name="Total 4 2 2 2" xfId="106"/>
    <cellStyle name="Total 4 2 3" xfId="107"/>
    <cellStyle name="Total 4 3" xfId="108"/>
    <cellStyle name="Total 4 3 2" xfId="109"/>
    <cellStyle name="Total 4 4" xfId="110"/>
    <cellStyle name="Total 4 4 2" xfId="111"/>
    <cellStyle name="Total 4 5" xfId="112"/>
    <cellStyle name="Total 4 5 2" xfId="113"/>
    <cellStyle name="Total 4 6" xfId="114"/>
    <cellStyle name="Total 4 6 2" xfId="115"/>
    <cellStyle name="Total 4 7" xfId="116"/>
    <cellStyle name="Total 4 7 2" xfId="117"/>
    <cellStyle name="Total 4 8" xfId="118"/>
    <cellStyle name="Total 4 8 2" xfId="119"/>
    <cellStyle name="Total 5" xfId="120"/>
    <cellStyle name="Total 5 2" xfId="121"/>
    <cellStyle name="Total 5 2 2" xfId="122"/>
    <cellStyle name="Total 5 3" xfId="123"/>
    <cellStyle name="Total 6" xfId="1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152400</xdr:rowOff>
    </xdr:from>
    <xdr:to>
      <xdr:col>10</xdr:col>
      <xdr:colOff>450374</xdr:colOff>
      <xdr:row>47</xdr:row>
      <xdr:rowOff>99060</xdr:rowOff>
    </xdr:to>
    <xdr:grpSp>
      <xdr:nvGrpSpPr>
        <xdr:cNvPr id="2" name="Group 1">
          <a:extLst>
            <a:ext uri="{FF2B5EF4-FFF2-40B4-BE49-F238E27FC236}">
              <a16:creationId xmlns:a16="http://schemas.microsoft.com/office/drawing/2014/main" xmlns="" id="{00000000-0008-0000-0000-000002000000}"/>
            </a:ext>
          </a:extLst>
        </xdr:cNvPr>
        <xdr:cNvGrpSpPr/>
      </xdr:nvGrpSpPr>
      <xdr:grpSpPr>
        <a:xfrm>
          <a:off x="152400" y="152400"/>
          <a:ext cx="6393974" cy="8452485"/>
          <a:chOff x="0" y="0"/>
          <a:chExt cx="6393974" cy="8900160"/>
        </a:xfrm>
      </xdr:grpSpPr>
      <xdr:sp macro="" textlink="">
        <xdr:nvSpPr>
          <xdr:cNvPr id="3" name="TextBox 2">
            <a:extLst>
              <a:ext uri="{FF2B5EF4-FFF2-40B4-BE49-F238E27FC236}">
                <a16:creationId xmlns:a16="http://schemas.microsoft.com/office/drawing/2014/main" xmlns="" id="{00000000-0008-0000-0000-000003000000}"/>
              </a:ext>
            </a:extLst>
          </xdr:cNvPr>
          <xdr:cNvSpPr txBox="1"/>
        </xdr:nvSpPr>
        <xdr:spPr>
          <a:xfrm>
            <a:off x="0" y="0"/>
            <a:ext cx="6393974" cy="8900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gn="ctr">
              <a:spcBef>
                <a:spcPts val="0"/>
              </a:spcBef>
              <a:spcAft>
                <a:spcPts val="0"/>
              </a:spcAft>
            </a:pPr>
            <a:r>
              <a:rPr lang="en-US" sz="1100" b="1" cap="all">
                <a:effectLst/>
                <a:latin typeface="Times New Roman"/>
                <a:ea typeface="Times New Roman"/>
                <a:cs typeface="Arial"/>
              </a:rPr>
              <a:t> </a:t>
            </a:r>
          </a:p>
          <a:p>
            <a:pPr marL="0" marR="0" algn="ctr">
              <a:spcBef>
                <a:spcPts val="0"/>
              </a:spcBef>
              <a:spcAft>
                <a:spcPts val="0"/>
              </a:spcAft>
            </a:pPr>
            <a:r>
              <a:rPr lang="en-US" sz="1100" b="1" cap="all">
                <a:effectLst/>
                <a:latin typeface="Times New Roman"/>
                <a:ea typeface="Times New Roman"/>
                <a:cs typeface="Arial"/>
              </a:rPr>
              <a:t> </a:t>
            </a:r>
          </a:p>
          <a:p>
            <a:pPr marL="0" marR="0" algn="ctr">
              <a:spcBef>
                <a:spcPts val="0"/>
              </a:spcBef>
              <a:spcAft>
                <a:spcPts val="0"/>
              </a:spcAft>
            </a:pPr>
            <a:r>
              <a:rPr lang="en-US" sz="1100" b="1" cap="all">
                <a:effectLst/>
                <a:latin typeface="Times New Roman"/>
                <a:ea typeface="Times New Roman"/>
                <a:cs typeface="Arial"/>
              </a:rPr>
              <a:t> </a:t>
            </a:r>
          </a:p>
          <a:p>
            <a:pPr marL="0" marR="0" algn="ctr">
              <a:spcBef>
                <a:spcPts val="0"/>
              </a:spcBef>
              <a:spcAft>
                <a:spcPts val="0"/>
              </a:spcAft>
            </a:pPr>
            <a:r>
              <a:rPr lang="en-US" sz="1100" b="1" cap="all">
                <a:effectLst/>
                <a:latin typeface="Times New Roman"/>
                <a:ea typeface="Times New Roman"/>
                <a:cs typeface="Arial"/>
              </a:rPr>
              <a:t> </a:t>
            </a:r>
          </a:p>
          <a:p>
            <a:pPr marL="0" marR="0" algn="ctr">
              <a:spcBef>
                <a:spcPts val="0"/>
              </a:spcBef>
              <a:spcAft>
                <a:spcPts val="0"/>
              </a:spcAft>
            </a:pPr>
            <a:r>
              <a:rPr lang="en-US" sz="1100" b="1" cap="all">
                <a:effectLst/>
                <a:latin typeface="Times New Roman"/>
                <a:ea typeface="Times New Roman"/>
                <a:cs typeface="Arial"/>
              </a:rPr>
              <a:t> </a:t>
            </a:r>
          </a:p>
          <a:p>
            <a:pPr marL="0" marR="0" algn="ctr">
              <a:spcBef>
                <a:spcPts val="0"/>
              </a:spcBef>
              <a:spcAft>
                <a:spcPts val="0"/>
              </a:spcAft>
            </a:pPr>
            <a:r>
              <a:rPr lang="en-US" sz="1100" b="1" cap="all">
                <a:effectLst/>
                <a:latin typeface="Times New Roman"/>
                <a:ea typeface="Times New Roman"/>
                <a:cs typeface="Arial"/>
              </a:rPr>
              <a:t> </a:t>
            </a:r>
          </a:p>
          <a:p>
            <a:pPr marL="0" marR="0" algn="ctr">
              <a:spcBef>
                <a:spcPts val="0"/>
              </a:spcBef>
              <a:spcAft>
                <a:spcPts val="0"/>
              </a:spcAft>
            </a:pPr>
            <a:r>
              <a:rPr lang="en-US" sz="1100" b="1" cap="all">
                <a:effectLst/>
                <a:latin typeface="Times New Roman"/>
                <a:ea typeface="Times New Roman"/>
                <a:cs typeface="Arial"/>
              </a:rPr>
              <a:t> </a:t>
            </a:r>
          </a:p>
          <a:p>
            <a:endParaRPr lang="en-US">
              <a:effectLst/>
              <a:latin typeface="Microsoft YaHei"/>
            </a:endParaRPr>
          </a:p>
          <a:p>
            <a:endParaRPr lang="en-US">
              <a:effectLst/>
              <a:latin typeface="Microsoft YaHei"/>
            </a:endParaRPr>
          </a:p>
          <a:p>
            <a:endParaRPr lang="en-US">
              <a:effectLst/>
              <a:latin typeface="Microsoft YaHei"/>
            </a:endParaRPr>
          </a:p>
          <a:p>
            <a:endParaRPr lang="en-US">
              <a:effectLst/>
              <a:latin typeface="Microsoft YaHei"/>
            </a:endParaRPr>
          </a:p>
          <a:p>
            <a:endParaRPr lang="en-US">
              <a:effectLst/>
              <a:latin typeface="Microsoft YaHei"/>
            </a:endParaRPr>
          </a:p>
          <a:p>
            <a:endParaRPr lang="en-US">
              <a:effectLst/>
              <a:latin typeface="Microsoft YaHei"/>
            </a:endParaRPr>
          </a:p>
          <a:p>
            <a:endParaRPr lang="en-US">
              <a:effectLst/>
              <a:latin typeface="Microsoft YaHei"/>
            </a:endParaRPr>
          </a:p>
          <a:p>
            <a:endParaRPr lang="en-US">
              <a:effectLst/>
              <a:latin typeface="Microsoft YaHei"/>
            </a:endParaRPr>
          </a:p>
          <a:p>
            <a:pPr algn="ctr"/>
            <a:endParaRPr lang="en-US" sz="2400" b="1">
              <a:effectLst/>
              <a:latin typeface="Microsoft YaHei" panose="020B0503020204020204" pitchFamily="34" charset="-122"/>
              <a:ea typeface="Microsoft YaHei" panose="020B0503020204020204" pitchFamily="34" charset="-122"/>
            </a:endParaRPr>
          </a:p>
          <a:p>
            <a:pPr algn="ctr"/>
            <a:endParaRPr lang="en-US" sz="2400" b="1">
              <a:effectLst/>
              <a:latin typeface="Microsoft YaHei" panose="020B0503020204020204" pitchFamily="34" charset="-122"/>
              <a:ea typeface="Microsoft YaHei" panose="020B0503020204020204" pitchFamily="34" charset="-122"/>
            </a:endParaRPr>
          </a:p>
          <a:p>
            <a:pPr algn="ctr"/>
            <a:r>
              <a:rPr lang="en-US" sz="2400" b="1">
                <a:effectLst/>
                <a:latin typeface="Microsoft YaHei" panose="020B0503020204020204" pitchFamily="34" charset="-122"/>
                <a:ea typeface="Microsoft YaHei" panose="020B0503020204020204" pitchFamily="34" charset="-122"/>
              </a:rPr>
              <a:t>Appendix</a:t>
            </a:r>
            <a:r>
              <a:rPr lang="en-US" sz="2400" b="1" baseline="0">
                <a:effectLst/>
                <a:latin typeface="Microsoft YaHei" panose="020B0503020204020204" pitchFamily="34" charset="-122"/>
                <a:ea typeface="Microsoft YaHei" panose="020B0503020204020204" pitchFamily="34" charset="-122"/>
              </a:rPr>
              <a:t> G-7</a:t>
            </a:r>
            <a:endParaRPr lang="en-US" sz="2400" b="1">
              <a:effectLst/>
              <a:latin typeface="Microsoft YaHei" panose="020B0503020204020204" pitchFamily="34" charset="-122"/>
              <a:ea typeface="Microsoft YaHei" panose="020B0503020204020204" pitchFamily="34" charset="-122"/>
            </a:endParaRPr>
          </a:p>
          <a:p>
            <a:pPr algn="ctr"/>
            <a:r>
              <a:rPr lang="en-US" sz="2400" b="1">
                <a:effectLst/>
                <a:latin typeface="Microsoft YaHei" panose="020B0503020204020204" pitchFamily="34" charset="-122"/>
                <a:ea typeface="Microsoft YaHei" panose="020B0503020204020204" pitchFamily="34" charset="-122"/>
              </a:rPr>
              <a:t>Updated in Response to Comments</a:t>
            </a:r>
          </a:p>
          <a:p>
            <a:pPr marL="0" marR="0" algn="ctr">
              <a:spcBef>
                <a:spcPts val="0"/>
              </a:spcBef>
              <a:spcAft>
                <a:spcPts val="0"/>
              </a:spcAft>
            </a:pPr>
            <a:r>
              <a:rPr lang="en-US" sz="1100" b="1" cap="all">
                <a:effectLst/>
                <a:latin typeface="+mn-lt"/>
                <a:ea typeface="Times New Roman"/>
                <a:cs typeface="Arial"/>
              </a:rPr>
              <a:t> </a:t>
            </a:r>
            <a:endParaRPr lang="en-US" sz="1100" b="1" cap="all">
              <a:effectLst/>
              <a:latin typeface="Times New Roman"/>
              <a:ea typeface="Times New Roman"/>
              <a:cs typeface="Arial"/>
            </a:endParaRPr>
          </a:p>
          <a:p>
            <a:pPr marL="0" marR="0" algn="ctr">
              <a:spcBef>
                <a:spcPts val="0"/>
              </a:spcBef>
              <a:spcAft>
                <a:spcPts val="1200"/>
              </a:spcAft>
            </a:pPr>
            <a:r>
              <a:rPr lang="en-US" sz="2400" b="1">
                <a:effectLst/>
                <a:latin typeface="+mn-lt"/>
                <a:ea typeface="Times New Roman"/>
                <a:cs typeface="Arial"/>
              </a:rPr>
              <a:t>FutureFuel Cost Calculations</a:t>
            </a:r>
          </a:p>
          <a:p>
            <a:pPr marL="0" marR="0">
              <a:lnSpc>
                <a:spcPct val="115000"/>
              </a:lnSpc>
              <a:spcBef>
                <a:spcPts val="0"/>
              </a:spcBef>
              <a:spcAft>
                <a:spcPts val="1000"/>
              </a:spcAft>
            </a:pPr>
            <a:r>
              <a:rPr lang="en-US" sz="800">
                <a:effectLst/>
                <a:latin typeface="+mn-lt"/>
                <a:ea typeface="Calibri"/>
                <a:cs typeface="Times New Roman"/>
              </a:rPr>
              <a:t> </a:t>
            </a:r>
          </a:p>
          <a:p>
            <a:pPr marL="0" marR="0">
              <a:lnSpc>
                <a:spcPct val="115000"/>
              </a:lnSpc>
              <a:spcBef>
                <a:spcPts val="0"/>
              </a:spcBef>
              <a:spcAft>
                <a:spcPts val="1000"/>
              </a:spcAft>
            </a:pPr>
            <a:r>
              <a:rPr lang="en-US" sz="800">
                <a:effectLst/>
                <a:latin typeface="+mn-lt"/>
                <a:ea typeface="Calibri"/>
                <a:cs typeface="Times New Roman"/>
              </a:rPr>
              <a:t> </a:t>
            </a:r>
          </a:p>
          <a:p>
            <a:pPr marL="0" marR="0">
              <a:lnSpc>
                <a:spcPct val="115000"/>
              </a:lnSpc>
              <a:spcBef>
                <a:spcPts val="0"/>
              </a:spcBef>
              <a:spcAft>
                <a:spcPts val="1000"/>
              </a:spcAft>
            </a:pPr>
            <a:r>
              <a:rPr lang="en-US" sz="800">
                <a:effectLst/>
                <a:latin typeface="+mn-lt"/>
                <a:ea typeface="Calibri"/>
                <a:cs typeface="Times New Roman"/>
              </a:rPr>
              <a:t> </a:t>
            </a:r>
          </a:p>
          <a:p>
            <a:pPr marL="0" marR="0">
              <a:lnSpc>
                <a:spcPct val="115000"/>
              </a:lnSpc>
              <a:spcBef>
                <a:spcPts val="0"/>
              </a:spcBef>
              <a:spcAft>
                <a:spcPts val="1000"/>
              </a:spcAft>
            </a:pPr>
            <a:r>
              <a:rPr lang="en-US" sz="800">
                <a:effectLst/>
                <a:latin typeface="+mn-lt"/>
                <a:ea typeface="Calibri"/>
                <a:cs typeface="Times New Roman"/>
              </a:rPr>
              <a:t> </a:t>
            </a:r>
          </a:p>
          <a:p>
            <a:pPr marL="0" marR="0">
              <a:lnSpc>
                <a:spcPct val="115000"/>
              </a:lnSpc>
              <a:spcBef>
                <a:spcPts val="0"/>
              </a:spcBef>
              <a:spcAft>
                <a:spcPts val="1000"/>
              </a:spcAft>
            </a:pPr>
            <a:r>
              <a:rPr lang="en-US" sz="800">
                <a:effectLst/>
                <a:latin typeface="+mn-lt"/>
                <a:ea typeface="Calibri"/>
                <a:cs typeface="Times New Roman"/>
              </a:rPr>
              <a:t> </a:t>
            </a:r>
            <a:endParaRPr lang="en-US" sz="1200">
              <a:effectLst/>
              <a:latin typeface="Times New Roman" panose="02020603050405020304" pitchFamily="18" charset="0"/>
              <a:ea typeface="Calibri"/>
              <a:cs typeface="Times New Roman" panose="02020603050405020304" pitchFamily="18" charset="0"/>
            </a:endParaRPr>
          </a:p>
          <a:p>
            <a:pPr marL="0" marR="0" algn="ctr">
              <a:lnSpc>
                <a:spcPct val="115000"/>
              </a:lnSpc>
              <a:spcBef>
                <a:spcPts val="0"/>
              </a:spcBef>
              <a:spcAft>
                <a:spcPts val="1000"/>
              </a:spcAft>
            </a:pPr>
            <a:r>
              <a:rPr lang="en-US" sz="1200">
                <a:effectLst/>
                <a:latin typeface="Times New Roman" panose="02020603050405020304" pitchFamily="18" charset="0"/>
                <a:ea typeface="Calibri"/>
                <a:cs typeface="Times New Roman" panose="02020603050405020304" pitchFamily="18" charset="0"/>
              </a:rPr>
              <a:t>Division of Environmental Quality</a:t>
            </a:r>
          </a:p>
          <a:p>
            <a:pPr marL="0" marR="0" algn="ctr">
              <a:lnSpc>
                <a:spcPct val="115000"/>
              </a:lnSpc>
              <a:spcBef>
                <a:spcPts val="0"/>
              </a:spcBef>
              <a:spcAft>
                <a:spcPts val="1000"/>
              </a:spcAft>
            </a:pPr>
            <a:r>
              <a:rPr lang="en-US" sz="1200">
                <a:effectLst/>
                <a:latin typeface="Times New Roman" panose="02020603050405020304" pitchFamily="18" charset="0"/>
                <a:ea typeface="Calibri"/>
                <a:cs typeface="Times New Roman" panose="02020603050405020304" pitchFamily="18" charset="0"/>
              </a:rPr>
              <a:t>Office of Air Quality</a:t>
            </a:r>
          </a:p>
          <a:p>
            <a:endParaRPr lang="en-US" sz="1100"/>
          </a:p>
        </xdr:txBody>
      </xdr:sp>
      <xdr:pic>
        <xdr:nvPicPr>
          <xdr:cNvPr id="4" name="Picture 3" descr="EQ_Vertical_color">
            <a:extLst>
              <a:ext uri="{FF2B5EF4-FFF2-40B4-BE49-F238E27FC236}">
                <a16:creationId xmlns:a16="http://schemas.microsoft.com/office/drawing/2014/main" xmlns="" id="{00000000-0008-0000-0000-000004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32775"/>
          <a:stretch/>
        </xdr:blipFill>
        <xdr:spPr bwMode="auto">
          <a:xfrm>
            <a:off x="1428750" y="1254125"/>
            <a:ext cx="3648868" cy="1790700"/>
          </a:xfrm>
          <a:prstGeom prst="rect">
            <a:avLst/>
          </a:prstGeom>
          <a:noFill/>
          <a:ln>
            <a:noFill/>
          </a:ln>
          <a:extLst>
            <a:ext uri="{53640926-AAD7-44D8-BBD7-CCE9431645EC}">
              <a14:shadowObscured xmlns:a14="http://schemas.microsoft.com/office/drawing/2010/main"/>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323849</xdr:colOff>
      <xdr:row>0</xdr:row>
      <xdr:rowOff>123821</xdr:rowOff>
    </xdr:from>
    <xdr:to>
      <xdr:col>9</xdr:col>
      <xdr:colOff>600074</xdr:colOff>
      <xdr:row>60</xdr:row>
      <xdr:rowOff>190499</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323849" y="123821"/>
          <a:ext cx="6148388" cy="109823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At</a:t>
          </a:r>
          <a:r>
            <a:rPr lang="en-US" sz="1100" baseline="0"/>
            <a:t> DEQ's request , FutureFuel provided emission reduction and cost-effectiveness based on the maximum monthly emission rate during the baseline period. After consultation with EPA and other states, DEQ is instead calculating emission reductions and cost-effectiveness based on annual average emission rates for the three coil-fired boilers .</a:t>
          </a:r>
        </a:p>
        <a:p>
          <a:endParaRPr lang="en-US" sz="1100" baseline="0"/>
        </a:p>
        <a:p>
          <a:r>
            <a:rPr lang="en-US" sz="1100" baseline="0"/>
            <a:t>DEQ made the following additional revisions for consistency with the EPA control cost manual and similar technology assessments made during Regional Haze Planning Period 1.</a:t>
          </a:r>
        </a:p>
        <a:p>
          <a:endParaRPr lang="en-US" sz="1100" baseline="0"/>
        </a:p>
        <a:p>
          <a:pPr lvl="1" algn="l"/>
          <a:r>
            <a:rPr lang="en-US" sz="1100">
              <a:solidFill>
                <a:schemeClr val="dk1"/>
              </a:solidFill>
              <a:effectLst/>
              <a:latin typeface="+mn-lt"/>
              <a:ea typeface="+mn-ea"/>
              <a:cs typeface="+mn-cs"/>
            </a:rPr>
            <a:t>1)  </a:t>
          </a:r>
        </a:p>
        <a:p>
          <a:pPr lvl="1" algn="l"/>
          <a:r>
            <a:rPr lang="en-US" sz="1100">
              <a:solidFill>
                <a:schemeClr val="dk1"/>
              </a:solidFill>
              <a:effectLst/>
              <a:latin typeface="+mn-lt"/>
              <a:ea typeface="+mn-ea"/>
              <a:cs typeface="+mn-cs"/>
            </a:rPr>
            <a:t>The EPA Control Cost Manual suggests use of 20% of total capital investment for contingency for study level cost estimates and 5 – 15% for “mature control technologies.” Future fuel used 30% of capital costs (excluding energy and non-environmental capital costs that are part of total capital investment) in their cost calculations without providing an explanation of why this change was appropriate due</a:t>
          </a:r>
          <a:r>
            <a:rPr lang="en-US" sz="1100" baseline="0">
              <a:solidFill>
                <a:schemeClr val="dk1"/>
              </a:solidFill>
              <a:effectLst/>
              <a:latin typeface="+mn-lt"/>
              <a:ea typeface="+mn-ea"/>
              <a:cs typeface="+mn-cs"/>
            </a:rPr>
            <a:t> to site-specific considerations. </a:t>
          </a:r>
          <a:endParaRPr lang="en-US" sz="1050">
            <a:solidFill>
              <a:schemeClr val="dk1"/>
            </a:solidFill>
            <a:effectLst/>
            <a:latin typeface="+mn-lt"/>
            <a:ea typeface="+mn-ea"/>
            <a:cs typeface="+mn-cs"/>
          </a:endParaRPr>
        </a:p>
        <a:p>
          <a:pPr algn="l"/>
          <a:r>
            <a:rPr lang="en-US" sz="1100">
              <a:solidFill>
                <a:schemeClr val="dk1"/>
              </a:solidFill>
              <a:effectLst/>
              <a:latin typeface="+mn-lt"/>
              <a:ea typeface="+mn-ea"/>
              <a:cs typeface="+mn-cs"/>
            </a:rPr>
            <a:t>		Control Cost Manual Chapter 2, Page 30.</a:t>
          </a:r>
        </a:p>
        <a:p>
          <a:pPr algn="l"/>
          <a:endParaRPr lang="en-US" sz="1100">
            <a:solidFill>
              <a:schemeClr val="dk1"/>
            </a:solidFill>
            <a:effectLst/>
            <a:latin typeface="+mn-lt"/>
            <a:ea typeface="+mn-ea"/>
            <a:cs typeface="+mn-cs"/>
          </a:endParaRPr>
        </a:p>
        <a:p>
          <a:pPr lvl="1" algn="l"/>
          <a:r>
            <a:rPr lang="en-US" sz="1100">
              <a:solidFill>
                <a:schemeClr val="dk1"/>
              </a:solidFill>
              <a:effectLst/>
              <a:latin typeface="+mn-lt"/>
              <a:ea typeface="+mn-ea"/>
              <a:cs typeface="+mn-cs"/>
            </a:rPr>
            <a:t>2)</a:t>
          </a:r>
        </a:p>
        <a:p>
          <a:pPr marL="457200" marR="0" lvl="1" indent="0" algn="l"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AFUDC and</a:t>
          </a:r>
          <a:r>
            <a:rPr lang="en-US" sz="1100" baseline="0">
              <a:solidFill>
                <a:schemeClr val="dk1"/>
              </a:solidFill>
              <a:effectLst/>
              <a:latin typeface="+mn-lt"/>
              <a:ea typeface="+mn-ea"/>
              <a:cs typeface="+mn-cs"/>
            </a:rPr>
            <a:t> Owner's costs, which are not valid costs under the EPA Control Cost Manual overnight estimation methodology have been removed. EPA has noted this in several actions on Planning Period I SIPs and FIPs.  </a:t>
          </a:r>
        </a:p>
        <a:p>
          <a:pPr lvl="1" algn="l"/>
          <a:r>
            <a:rPr lang="en-US" sz="1100" baseline="0">
              <a:solidFill>
                <a:schemeClr val="dk1"/>
              </a:solidFill>
              <a:effectLst/>
              <a:latin typeface="+mn-lt"/>
              <a:ea typeface="+mn-ea"/>
              <a:cs typeface="+mn-cs"/>
            </a:rPr>
            <a:t>		Control Cost Manual Chapter 2, Page 11 and 17</a:t>
          </a:r>
        </a:p>
        <a:p>
          <a:pPr lvl="1" algn="l"/>
          <a:r>
            <a:rPr lang="en-US" sz="1100">
              <a:solidFill>
                <a:schemeClr val="dk1"/>
              </a:solidFill>
              <a:effectLst/>
              <a:latin typeface="+mn-lt"/>
              <a:ea typeface="+mn-ea"/>
              <a:cs typeface="+mn-cs"/>
            </a:rPr>
            <a:t>3)</a:t>
          </a:r>
          <a:endParaRPr lang="en-US">
            <a:effectLst/>
          </a:endParaRPr>
        </a:p>
        <a:p>
          <a:pPr lvl="1" algn="l"/>
          <a:r>
            <a:rPr lang="en-US" sz="1100">
              <a:solidFill>
                <a:schemeClr val="dk1"/>
              </a:solidFill>
              <a:effectLst/>
              <a:latin typeface="+mn-lt"/>
              <a:ea typeface="+mn-ea"/>
              <a:cs typeface="+mn-cs"/>
            </a:rPr>
            <a:t>All</a:t>
          </a:r>
          <a:r>
            <a:rPr lang="en-US" sz="1100" baseline="0">
              <a:solidFill>
                <a:schemeClr val="dk1"/>
              </a:solidFill>
              <a:effectLst/>
              <a:latin typeface="+mn-lt"/>
              <a:ea typeface="+mn-ea"/>
              <a:cs typeface="+mn-cs"/>
            </a:rPr>
            <a:t> line-item costs estimated using total capital investment were revised to reflect changes in contingency  and removal of disallowed costs using formulas provided by the EPA control cost manual</a:t>
          </a:r>
        </a:p>
        <a:p>
          <a:pPr lvl="1" algn="l"/>
          <a:r>
            <a:rPr lang="en-US" sz="1100" baseline="0">
              <a:solidFill>
                <a:schemeClr val="dk1"/>
              </a:solidFill>
              <a:effectLst/>
              <a:latin typeface="+mn-lt"/>
              <a:ea typeface="+mn-ea"/>
              <a:cs typeface="+mn-cs"/>
            </a:rPr>
            <a:t>	Administrative costs = 2% of capital investment</a:t>
          </a:r>
        </a:p>
        <a:p>
          <a:pPr lvl="1" algn="l"/>
          <a:r>
            <a:rPr lang="en-US" sz="1100" baseline="0">
              <a:solidFill>
                <a:schemeClr val="dk1"/>
              </a:solidFill>
              <a:effectLst/>
              <a:latin typeface="+mn-lt"/>
              <a:ea typeface="+mn-ea"/>
              <a:cs typeface="+mn-cs"/>
            </a:rPr>
            <a:t>	Property tax =1 % of capital investment</a:t>
          </a:r>
        </a:p>
        <a:p>
          <a:pPr lvl="1" algn="l"/>
          <a:r>
            <a:rPr lang="en-US" sz="1100" baseline="0">
              <a:solidFill>
                <a:schemeClr val="dk1"/>
              </a:solidFill>
              <a:effectLst/>
              <a:latin typeface="+mn-lt"/>
              <a:ea typeface="+mn-ea"/>
              <a:cs typeface="+mn-cs"/>
            </a:rPr>
            <a:t>	Insurance = 1% of capital investment</a:t>
          </a:r>
        </a:p>
        <a:p>
          <a:pPr marL="457200" marR="0" lvl="1" indent="0" algn="l"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		Control Cost Manual Chapter 2, Page 35</a:t>
          </a:r>
          <a:endParaRPr lang="en-US" sz="1100" baseline="0">
            <a:solidFill>
              <a:schemeClr val="dk1"/>
            </a:solidFill>
            <a:effectLst/>
            <a:latin typeface="+mn-lt"/>
            <a:ea typeface="+mn-ea"/>
            <a:cs typeface="+mn-cs"/>
          </a:endParaRPr>
        </a:p>
        <a:p>
          <a:pPr lvl="1" algn="l"/>
          <a:r>
            <a:rPr lang="en-US" sz="1100" baseline="0">
              <a:solidFill>
                <a:schemeClr val="dk1"/>
              </a:solidFill>
              <a:effectLst/>
              <a:latin typeface="+mn-lt"/>
              <a:ea typeface="+mn-ea"/>
              <a:cs typeface="+mn-cs"/>
            </a:rPr>
            <a:t>4) </a:t>
          </a:r>
        </a:p>
        <a:p>
          <a:pPr lvl="1" algn="l"/>
          <a:r>
            <a:rPr lang="en-US" sz="1100" baseline="0">
              <a:solidFill>
                <a:schemeClr val="dk1"/>
              </a:solidFill>
              <a:effectLst/>
              <a:latin typeface="+mn-lt"/>
              <a:ea typeface="+mn-ea"/>
              <a:cs typeface="+mn-cs"/>
            </a:rPr>
            <a:t>Equipment Life for control technologies has been revised to be consistent with EPA control cost manual and similar technology assessments made during Regional Haze Planning Period 1.</a:t>
          </a:r>
          <a:endParaRPr lang="en-US" sz="1100">
            <a:solidFill>
              <a:schemeClr val="dk1"/>
            </a:solidFill>
            <a:effectLst/>
            <a:latin typeface="+mn-lt"/>
            <a:ea typeface="+mn-ea"/>
            <a:cs typeface="+mn-cs"/>
          </a:endParaRPr>
        </a:p>
        <a:p>
          <a:r>
            <a:rPr lang="en-US" sz="1100" baseline="0"/>
            <a:t>	Wet FGD: 30 years</a:t>
          </a:r>
        </a:p>
        <a:p>
          <a:r>
            <a:rPr lang="en-US" sz="1100" baseline="0"/>
            <a:t>	Dry FGD: 30 years</a:t>
          </a:r>
        </a:p>
        <a:p>
          <a:r>
            <a:rPr lang="en-US" sz="1100" baseline="0"/>
            <a:t>	DSI: 30 years</a:t>
          </a:r>
        </a:p>
        <a:p>
          <a:r>
            <a:rPr lang="en-US" sz="1100" baseline="0"/>
            <a:t>	SCR: 30 years</a:t>
          </a:r>
        </a:p>
        <a:p>
          <a:r>
            <a:rPr lang="en-US" sz="1100" baseline="0"/>
            <a:t>	SNCR: 20 years</a:t>
          </a:r>
        </a:p>
        <a:p>
          <a:pPr lvl="1"/>
          <a:r>
            <a:rPr lang="en-US" sz="1100" baseline="0"/>
            <a:t>5)</a:t>
          </a:r>
        </a:p>
        <a:p>
          <a:pPr lvl="1"/>
          <a:r>
            <a:rPr lang="en-US" sz="1100" baseline="0"/>
            <a:t>Cost of fuel for natural gas scenarios revised to reflect the incremental change in cost of using natural gas compared to coals currently in use for boilers based on EIA data. In addition, the cost associated with electrical, maintenance, operating and support labor, permitting and compliance were removed because these do not represent cost increases above the current cost of using coal. See Email from Philip Antici on July 23, 2020.</a:t>
          </a:r>
        </a:p>
        <a:p>
          <a:pPr lvl="1"/>
          <a:endParaRPr lang="en-US" sz="1100" baseline="0"/>
        </a:p>
        <a:p>
          <a:pPr lvl="1"/>
          <a:r>
            <a:rPr lang="en-US" sz="1100" baseline="0"/>
            <a:t>6)</a:t>
          </a:r>
        </a:p>
        <a:p>
          <a:pPr lvl="1"/>
          <a:r>
            <a:rPr lang="en-US" sz="1100" baseline="0"/>
            <a:t>Costs for each lower sulfur content coal scenario were revised to reflect the incremental cost of the scenario above current costs for coal.  The tax associated with the 1.5% sulfur content coal control scenario was adjusted to remove cost of transportation from the taxable amount. In addition, the control efficiency was adjusted to reflect emission reductions resulting from switching coals without making changes to emissions from waste streams in the baseline. This change reflects a mass-balance estimation of SO2 emitted from burning coal and the average sulfur content of the coals burned during the baseline instead of the permitted sulfur content limit for coal. (See email from Philip Antici on 7/23/ 20 and FFCC Coal and Waste SO2 mmBtu Baseline_9_8_2020 spreadsheet.</a:t>
          </a:r>
        </a:p>
        <a:p>
          <a:endParaRPr lang="en-US" sz="1100" baseline="0"/>
        </a:p>
        <a:p>
          <a:endParaRPr lang="en-US" sz="1100" baseline="0"/>
        </a:p>
        <a:p>
          <a:r>
            <a:rPr lang="en-US" sz="1100"/>
            <a:t>In response to public comments, cost</a:t>
          </a:r>
          <a:r>
            <a:rPr lang="en-US" sz="1100" baseline="0"/>
            <a:t> calculations were modified to correct identified errors.  See Response to Comments for discussion of the rationale for these changes.</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475193</xdr:colOff>
      <xdr:row>17</xdr:row>
      <xdr:rowOff>2116</xdr:rowOff>
    </xdr:from>
    <xdr:to>
      <xdr:col>12</xdr:col>
      <xdr:colOff>599598</xdr:colOff>
      <xdr:row>27</xdr:row>
      <xdr:rowOff>21166</xdr:rowOff>
    </xdr:to>
    <xdr:pic>
      <xdr:nvPicPr>
        <xdr:cNvPr id="2" name="gmail-m_3203161933218738240gmail-m_-7786032467899058228gmail-m_-2266537767561907457_x0000_i1025" descr="https://lh5.googleusercontent.com/1s-180byV1ApcqPOF6WyBnsc3fJysbeuWJ7gQvULVD_gsUz9gYZJWVg_UBVDXp9Tn7mmqgpoJ56JTZFSCfpvQRMejkN042nHacjSj8iGHIcnD0WphAroavO7Y7P0C7_mJ-OaOI_u">
          <a:extLst>
            <a:ext uri="{FF2B5EF4-FFF2-40B4-BE49-F238E27FC236}">
              <a16:creationId xmlns:a16="http://schemas.microsoft.com/office/drawing/2014/main" xmlns=""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61881" y="4088341"/>
          <a:ext cx="4653542" cy="2105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M26" sqref="M26"/>
    </sheetView>
  </sheetViews>
  <sheetFormatPr defaultRowHeight="14.25" x14ac:dyDescent="0.45"/>
  <cols>
    <col min="1" max="16384" width="9.140625" style="36"/>
  </cols>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L40"/>
  <sheetViews>
    <sheetView workbookViewId="0">
      <selection activeCell="C6" sqref="C6"/>
    </sheetView>
  </sheetViews>
  <sheetFormatPr defaultColWidth="9.7109375" defaultRowHeight="14.25" x14ac:dyDescent="0.45"/>
  <cols>
    <col min="1" max="1" width="62.28515625" style="36" bestFit="1" customWidth="1"/>
    <col min="2" max="2" width="18.42578125" style="36" bestFit="1" customWidth="1"/>
    <col min="3" max="3" width="26.42578125" style="36" customWidth="1"/>
    <col min="4" max="4" width="11.28515625" style="36" bestFit="1" customWidth="1"/>
    <col min="5" max="5" width="16.28515625" style="36" bestFit="1" customWidth="1"/>
    <col min="6" max="7" width="9.7109375" style="36"/>
    <col min="8" max="8" width="12.5703125" style="36" bestFit="1" customWidth="1"/>
    <col min="9" max="9" width="14.7109375" style="36" bestFit="1" customWidth="1"/>
    <col min="10" max="16384" width="9.7109375" style="36"/>
  </cols>
  <sheetData>
    <row r="1" spans="1:12" x14ac:dyDescent="0.45">
      <c r="H1" s="102"/>
    </row>
    <row r="2" spans="1:12" x14ac:dyDescent="0.45">
      <c r="A2" s="36" t="s">
        <v>8</v>
      </c>
      <c r="B2" s="36" t="s">
        <v>9</v>
      </c>
      <c r="C2" s="36" t="s">
        <v>10</v>
      </c>
    </row>
    <row r="3" spans="1:12" ht="14.45" customHeight="1" x14ac:dyDescent="0.45">
      <c r="A3" s="103" t="s">
        <v>11</v>
      </c>
      <c r="B3" s="4">
        <v>48992316</v>
      </c>
      <c r="C3" s="36" t="s">
        <v>103</v>
      </c>
    </row>
    <row r="4" spans="1:12" x14ac:dyDescent="0.45">
      <c r="A4" s="103" t="s">
        <v>13</v>
      </c>
      <c r="B4" s="5">
        <f>B3*0.2</f>
        <v>9798463.2000000011</v>
      </c>
      <c r="H4" s="104"/>
    </row>
    <row r="5" spans="1:12" x14ac:dyDescent="0.45">
      <c r="A5" s="103" t="s">
        <v>20</v>
      </c>
      <c r="B5" s="5">
        <f>SUM(B3:B4)</f>
        <v>58790779.200000003</v>
      </c>
      <c r="L5" s="104"/>
    </row>
    <row r="6" spans="1:12" x14ac:dyDescent="0.45">
      <c r="A6" s="103" t="s">
        <v>23</v>
      </c>
      <c r="B6" s="1">
        <f>(0.07*(1+0.07)^30)/(((1+0.07)^30)-1)</f>
        <v>8.0586403511111196E-2</v>
      </c>
      <c r="C6" s="7" t="s">
        <v>67</v>
      </c>
      <c r="H6" s="8"/>
    </row>
    <row r="8" spans="1:12" x14ac:dyDescent="0.45">
      <c r="A8" s="106"/>
      <c r="B8" s="107"/>
      <c r="C8" s="107"/>
    </row>
    <row r="9" spans="1:12" x14ac:dyDescent="0.45">
      <c r="A9" s="103" t="s">
        <v>26</v>
      </c>
      <c r="B9" s="56">
        <f>B5*B6</f>
        <v>4737737.4553438434</v>
      </c>
      <c r="H9" s="104"/>
    </row>
    <row r="10" spans="1:12" x14ac:dyDescent="0.45">
      <c r="A10" s="36" t="s">
        <v>29</v>
      </c>
      <c r="L10" s="104"/>
    </row>
    <row r="11" spans="1:12" x14ac:dyDescent="0.45">
      <c r="A11" s="103" t="s">
        <v>94</v>
      </c>
      <c r="B11" s="108">
        <v>361108</v>
      </c>
      <c r="H11" s="13"/>
    </row>
    <row r="12" spans="1:12" ht="14.45" customHeight="1" x14ac:dyDescent="0.45">
      <c r="A12" s="103" t="s">
        <v>101</v>
      </c>
      <c r="B12" s="109">
        <v>112972</v>
      </c>
      <c r="C12" s="148"/>
    </row>
    <row r="13" spans="1:12" x14ac:dyDescent="0.45">
      <c r="A13" s="103" t="s">
        <v>96</v>
      </c>
      <c r="B13" s="109">
        <v>12189</v>
      </c>
      <c r="C13" s="148"/>
    </row>
    <row r="14" spans="1:12" x14ac:dyDescent="0.45">
      <c r="A14" s="103" t="s">
        <v>97</v>
      </c>
      <c r="B14" s="109">
        <v>18206</v>
      </c>
      <c r="C14" s="148"/>
    </row>
    <row r="15" spans="1:12" x14ac:dyDescent="0.45">
      <c r="A15" s="103" t="s">
        <v>98</v>
      </c>
      <c r="B15" s="109">
        <v>397132</v>
      </c>
      <c r="C15" s="148"/>
      <c r="H15" s="15"/>
    </row>
    <row r="16" spans="1:12" x14ac:dyDescent="0.45">
      <c r="A16" s="103" t="s">
        <v>104</v>
      </c>
      <c r="B16" s="110">
        <v>19860</v>
      </c>
    </row>
    <row r="17" spans="1:9" x14ac:dyDescent="0.45">
      <c r="A17" s="103" t="s">
        <v>41</v>
      </c>
      <c r="B17" s="108">
        <f>SUM(B11:B16)</f>
        <v>921467</v>
      </c>
    </row>
    <row r="18" spans="1:9" x14ac:dyDescent="0.45">
      <c r="A18" s="145" t="s">
        <v>43</v>
      </c>
      <c r="I18" s="104"/>
    </row>
    <row r="19" spans="1:9" x14ac:dyDescent="0.45">
      <c r="A19" s="103" t="s">
        <v>44</v>
      </c>
      <c r="B19" s="133">
        <f>0.6*(SUM(B11:B13))</f>
        <v>291761.39999999997</v>
      </c>
    </row>
    <row r="20" spans="1:9" x14ac:dyDescent="0.45">
      <c r="A20" s="103" t="s">
        <v>50</v>
      </c>
      <c r="B20" s="122">
        <f>0.02*B5</f>
        <v>1175815.584</v>
      </c>
    </row>
    <row r="21" spans="1:9" x14ac:dyDescent="0.45">
      <c r="A21" s="103" t="s">
        <v>51</v>
      </c>
      <c r="B21" s="122">
        <f>0.01*B5</f>
        <v>587907.79200000002</v>
      </c>
      <c r="I21" s="4"/>
    </row>
    <row r="22" spans="1:9" x14ac:dyDescent="0.45">
      <c r="A22" s="106" t="s">
        <v>53</v>
      </c>
      <c r="B22" s="123">
        <f>0.01*B5</f>
        <v>587907.79200000002</v>
      </c>
    </row>
    <row r="23" spans="1:9" x14ac:dyDescent="0.45">
      <c r="A23" s="103" t="s">
        <v>54</v>
      </c>
      <c r="B23" s="110">
        <f>SUM(B19:B22)</f>
        <v>2643392.568</v>
      </c>
      <c r="I23" s="4"/>
    </row>
    <row r="24" spans="1:9" x14ac:dyDescent="0.45">
      <c r="A24" s="103" t="s">
        <v>56</v>
      </c>
      <c r="B24" s="56">
        <f>SUM(B9,B17,B23)</f>
        <v>8302597.0233438434</v>
      </c>
    </row>
    <row r="25" spans="1:9" x14ac:dyDescent="0.45">
      <c r="I25" s="108"/>
    </row>
    <row r="26" spans="1:9" x14ac:dyDescent="0.45">
      <c r="B26" s="143" t="s">
        <v>1</v>
      </c>
      <c r="C26" s="120"/>
      <c r="D26" s="120"/>
    </row>
    <row r="27" spans="1:9" x14ac:dyDescent="0.45">
      <c r="A27" s="103" t="s">
        <v>59</v>
      </c>
      <c r="B27" s="116">
        <v>2171</v>
      </c>
      <c r="C27" s="134"/>
      <c r="D27" s="69"/>
    </row>
    <row r="28" spans="1:9" x14ac:dyDescent="0.45">
      <c r="A28" s="103" t="s">
        <v>61</v>
      </c>
      <c r="B28" s="117">
        <v>0.4</v>
      </c>
      <c r="C28" s="135"/>
      <c r="D28" s="69"/>
    </row>
    <row r="29" spans="1:9" x14ac:dyDescent="0.45">
      <c r="A29" s="103" t="s">
        <v>62</v>
      </c>
      <c r="B29" s="138">
        <f>B27*B28</f>
        <v>868.40000000000009</v>
      </c>
      <c r="C29" s="69"/>
      <c r="D29" s="69"/>
    </row>
    <row r="30" spans="1:9" x14ac:dyDescent="0.45">
      <c r="A30" s="103" t="s">
        <v>63</v>
      </c>
      <c r="B30" s="139">
        <f>B24/B29</f>
        <v>9560.7980462273645</v>
      </c>
      <c r="C30" s="77"/>
      <c r="D30" s="77"/>
    </row>
    <row r="31" spans="1:9" x14ac:dyDescent="0.45">
      <c r="A31" s="69"/>
      <c r="B31" s="69"/>
      <c r="C31" s="69"/>
    </row>
    <row r="32" spans="1:9" x14ac:dyDescent="0.45">
      <c r="A32" s="118"/>
      <c r="B32" s="69"/>
      <c r="C32" s="69"/>
    </row>
    <row r="33" spans="1:3" x14ac:dyDescent="0.45">
      <c r="A33" s="118"/>
      <c r="B33" s="69"/>
      <c r="C33" s="69"/>
    </row>
    <row r="34" spans="1:3" x14ac:dyDescent="0.45">
      <c r="A34" s="119"/>
      <c r="B34" s="69"/>
      <c r="C34" s="69"/>
    </row>
    <row r="35" spans="1:3" x14ac:dyDescent="0.45">
      <c r="A35" s="69"/>
      <c r="B35" s="69"/>
      <c r="C35" s="69"/>
    </row>
    <row r="36" spans="1:3" x14ac:dyDescent="0.45">
      <c r="A36" s="119"/>
      <c r="B36" s="77"/>
      <c r="C36" s="69"/>
    </row>
    <row r="37" spans="1:3" x14ac:dyDescent="0.45">
      <c r="A37" s="119"/>
      <c r="B37" s="77"/>
      <c r="C37" s="69"/>
    </row>
    <row r="38" spans="1:3" x14ac:dyDescent="0.45">
      <c r="A38" s="69"/>
      <c r="B38" s="120"/>
      <c r="C38" s="69"/>
    </row>
    <row r="39" spans="1:3" x14ac:dyDescent="0.45">
      <c r="A39" s="119"/>
      <c r="B39" s="77"/>
      <c r="C39" s="69"/>
    </row>
    <row r="40" spans="1:3" x14ac:dyDescent="0.45">
      <c r="A40" s="69"/>
      <c r="B40" s="69"/>
      <c r="C40" s="69"/>
    </row>
  </sheetData>
  <mergeCells count="1">
    <mergeCell ref="C12:C15"/>
  </mergeCells>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L39"/>
  <sheetViews>
    <sheetView workbookViewId="0">
      <selection activeCell="D27" sqref="D27"/>
    </sheetView>
  </sheetViews>
  <sheetFormatPr defaultColWidth="9.7109375" defaultRowHeight="14.25" x14ac:dyDescent="0.45"/>
  <cols>
    <col min="1" max="1" width="62.28515625" style="36" bestFit="1" customWidth="1"/>
    <col min="2" max="2" width="18.42578125" style="36" bestFit="1" customWidth="1"/>
    <col min="3" max="3" width="26.42578125" style="36" customWidth="1"/>
    <col min="4" max="4" width="11.28515625" style="36" bestFit="1" customWidth="1"/>
    <col min="5" max="5" width="16.28515625" style="36" bestFit="1" customWidth="1"/>
    <col min="6" max="7" width="9.7109375" style="36"/>
    <col min="8" max="8" width="12.5703125" style="36" bestFit="1" customWidth="1"/>
    <col min="9" max="9" width="14.7109375" style="36" bestFit="1" customWidth="1"/>
    <col min="10" max="16384" width="9.7109375" style="36"/>
  </cols>
  <sheetData>
    <row r="1" spans="1:12" x14ac:dyDescent="0.45">
      <c r="H1" s="102"/>
    </row>
    <row r="2" spans="1:12" x14ac:dyDescent="0.45">
      <c r="A2" s="36" t="s">
        <v>8</v>
      </c>
      <c r="B2" s="36" t="s">
        <v>9</v>
      </c>
      <c r="C2" s="36" t="s">
        <v>10</v>
      </c>
    </row>
    <row r="3" spans="1:12" ht="14.45" customHeight="1" x14ac:dyDescent="0.45">
      <c r="A3" s="103" t="s">
        <v>11</v>
      </c>
      <c r="B3" s="4">
        <v>38525286</v>
      </c>
    </row>
    <row r="4" spans="1:12" x14ac:dyDescent="0.45">
      <c r="A4" s="103" t="s">
        <v>13</v>
      </c>
      <c r="B4" s="5">
        <f>B3*0.2</f>
        <v>7705057.2000000002</v>
      </c>
      <c r="H4" s="104"/>
    </row>
    <row r="5" spans="1:12" x14ac:dyDescent="0.45">
      <c r="A5" s="103" t="s">
        <v>20</v>
      </c>
      <c r="B5" s="5">
        <f>SUM(B3:B4)</f>
        <v>46230343.200000003</v>
      </c>
      <c r="L5" s="104"/>
    </row>
    <row r="6" spans="1:12" x14ac:dyDescent="0.45">
      <c r="A6" s="103" t="s">
        <v>23</v>
      </c>
      <c r="B6" s="1">
        <f>(0.07*(1+0.07)^30)/(((1+0.07)^30)-1)</f>
        <v>8.0586403511111196E-2</v>
      </c>
      <c r="C6" s="7" t="s">
        <v>67</v>
      </c>
      <c r="H6" s="8"/>
    </row>
    <row r="8" spans="1:12" x14ac:dyDescent="0.45">
      <c r="A8" s="106"/>
      <c r="B8" s="107"/>
      <c r="C8" s="107"/>
    </row>
    <row r="9" spans="1:12" x14ac:dyDescent="0.45">
      <c r="A9" s="103" t="s">
        <v>26</v>
      </c>
      <c r="B9" s="56">
        <f>B5*B6</f>
        <v>3725537.0915723559</v>
      </c>
      <c r="H9" s="104"/>
    </row>
    <row r="10" spans="1:12" x14ac:dyDescent="0.45">
      <c r="A10" s="36" t="s">
        <v>29</v>
      </c>
      <c r="L10" s="104"/>
    </row>
    <row r="11" spans="1:12" x14ac:dyDescent="0.45">
      <c r="A11" s="103" t="s">
        <v>105</v>
      </c>
      <c r="B11" s="108">
        <v>239320</v>
      </c>
      <c r="H11" s="13"/>
    </row>
    <row r="12" spans="1:12" ht="14.45" customHeight="1" x14ac:dyDescent="0.45">
      <c r="A12" s="103" t="s">
        <v>106</v>
      </c>
      <c r="B12" s="109">
        <v>216051</v>
      </c>
      <c r="C12" s="148"/>
    </row>
    <row r="13" spans="1:12" x14ac:dyDescent="0.45">
      <c r="A13" s="103" t="s">
        <v>107</v>
      </c>
      <c r="B13" s="109">
        <v>66018</v>
      </c>
      <c r="C13" s="148"/>
    </row>
    <row r="14" spans="1:12" x14ac:dyDescent="0.45">
      <c r="A14" s="103" t="s">
        <v>108</v>
      </c>
      <c r="B14" s="109">
        <v>19664</v>
      </c>
      <c r="C14" s="148"/>
    </row>
    <row r="15" spans="1:12" x14ac:dyDescent="0.45">
      <c r="A15" s="103" t="s">
        <v>41</v>
      </c>
      <c r="B15" s="108">
        <f>SUM(B11:B14)</f>
        <v>541053</v>
      </c>
    </row>
    <row r="16" spans="1:12" x14ac:dyDescent="0.45">
      <c r="A16" s="145" t="s">
        <v>43</v>
      </c>
      <c r="I16" s="104"/>
    </row>
    <row r="17" spans="1:9" x14ac:dyDescent="0.45">
      <c r="A17" s="103" t="s">
        <v>44</v>
      </c>
      <c r="B17" s="133">
        <f>0.6*B11</f>
        <v>143592</v>
      </c>
    </row>
    <row r="18" spans="1:9" x14ac:dyDescent="0.45">
      <c r="A18" s="103" t="s">
        <v>50</v>
      </c>
      <c r="B18" s="122">
        <f>0.02*B5</f>
        <v>924606.86400000006</v>
      </c>
    </row>
    <row r="19" spans="1:9" x14ac:dyDescent="0.45">
      <c r="A19" s="103" t="s">
        <v>51</v>
      </c>
      <c r="B19" s="122">
        <f>0.01*B5</f>
        <v>462303.43200000003</v>
      </c>
      <c r="I19" s="4"/>
    </row>
    <row r="20" spans="1:9" x14ac:dyDescent="0.45">
      <c r="A20" s="106" t="s">
        <v>53</v>
      </c>
      <c r="B20" s="123">
        <f>0.01*B5</f>
        <v>462303.43200000003</v>
      </c>
    </row>
    <row r="21" spans="1:9" x14ac:dyDescent="0.45">
      <c r="A21" s="103" t="s">
        <v>54</v>
      </c>
      <c r="B21" s="110">
        <f>SUM(B17:B20)</f>
        <v>1992805.7280000001</v>
      </c>
      <c r="I21" s="4"/>
    </row>
    <row r="22" spans="1:9" x14ac:dyDescent="0.45">
      <c r="A22" s="103" t="s">
        <v>56</v>
      </c>
      <c r="B22" s="56">
        <f>SUM(B9,B15,B21)</f>
        <v>6259395.8195723556</v>
      </c>
    </row>
    <row r="23" spans="1:9" x14ac:dyDescent="0.45">
      <c r="I23" s="108"/>
    </row>
    <row r="24" spans="1:9" x14ac:dyDescent="0.45">
      <c r="B24" s="143" t="s">
        <v>57</v>
      </c>
      <c r="C24" s="120"/>
      <c r="D24" s="120"/>
    </row>
    <row r="25" spans="1:9" x14ac:dyDescent="0.45">
      <c r="A25" s="103" t="s">
        <v>59</v>
      </c>
      <c r="B25" s="116">
        <v>246.66666666666666</v>
      </c>
      <c r="C25" s="134"/>
      <c r="D25" s="69"/>
    </row>
    <row r="26" spans="1:9" x14ac:dyDescent="0.45">
      <c r="A26" s="103" t="s">
        <v>61</v>
      </c>
      <c r="B26" s="117">
        <v>0.8</v>
      </c>
      <c r="C26" s="135"/>
      <c r="D26" s="69"/>
    </row>
    <row r="27" spans="1:9" x14ac:dyDescent="0.45">
      <c r="A27" s="103" t="s">
        <v>62</v>
      </c>
      <c r="B27" s="138">
        <f>B25*B26</f>
        <v>197.33333333333334</v>
      </c>
      <c r="C27" s="69"/>
      <c r="D27" s="69"/>
    </row>
    <row r="28" spans="1:9" x14ac:dyDescent="0.45">
      <c r="A28" s="103" t="s">
        <v>63</v>
      </c>
      <c r="B28" s="137">
        <f>B22/B27</f>
        <v>31719.911247832883</v>
      </c>
      <c r="C28" s="77"/>
      <c r="D28" s="77"/>
    </row>
    <row r="32" spans="1:9" x14ac:dyDescent="0.45">
      <c r="A32" s="118"/>
      <c r="B32" s="69"/>
      <c r="C32" s="69"/>
    </row>
    <row r="33" spans="1:3" x14ac:dyDescent="0.45">
      <c r="A33" s="118"/>
      <c r="B33" s="69"/>
      <c r="C33" s="69"/>
    </row>
    <row r="34" spans="1:3" x14ac:dyDescent="0.45">
      <c r="A34" s="119"/>
      <c r="B34" s="69"/>
      <c r="C34" s="69"/>
    </row>
    <row r="35" spans="1:3" x14ac:dyDescent="0.45">
      <c r="A35" s="69"/>
      <c r="B35" s="69"/>
      <c r="C35" s="69"/>
    </row>
    <row r="36" spans="1:3" x14ac:dyDescent="0.45">
      <c r="A36" s="119"/>
      <c r="B36" s="77"/>
      <c r="C36" s="69"/>
    </row>
    <row r="37" spans="1:3" x14ac:dyDescent="0.45">
      <c r="A37" s="119"/>
      <c r="B37" s="77"/>
      <c r="C37" s="69"/>
    </row>
    <row r="38" spans="1:3" x14ac:dyDescent="0.45">
      <c r="A38" s="69"/>
      <c r="B38" s="120"/>
      <c r="C38" s="69"/>
    </row>
    <row r="39" spans="1:3" x14ac:dyDescent="0.45">
      <c r="A39" s="119"/>
      <c r="B39" s="77"/>
      <c r="C39" s="69"/>
    </row>
  </sheetData>
  <mergeCells count="1">
    <mergeCell ref="C12:C14"/>
  </mergeCells>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L39"/>
  <sheetViews>
    <sheetView workbookViewId="0">
      <selection activeCell="C21" sqref="C21"/>
    </sheetView>
  </sheetViews>
  <sheetFormatPr defaultColWidth="9.7109375" defaultRowHeight="14.25" x14ac:dyDescent="0.45"/>
  <cols>
    <col min="1" max="1" width="62.28515625" style="36" bestFit="1" customWidth="1"/>
    <col min="2" max="2" width="18.42578125" style="36" bestFit="1" customWidth="1"/>
    <col min="3" max="3" width="26.42578125" style="36" customWidth="1"/>
    <col min="4" max="4" width="11.28515625" style="36" bestFit="1" customWidth="1"/>
    <col min="5" max="5" width="16.28515625" style="36" bestFit="1" customWidth="1"/>
    <col min="6" max="7" width="9.7109375" style="36"/>
    <col min="8" max="8" width="12.5703125" style="36" bestFit="1" customWidth="1"/>
    <col min="9" max="9" width="14.7109375" style="36" bestFit="1" customWidth="1"/>
    <col min="10" max="16384" width="9.7109375" style="36"/>
  </cols>
  <sheetData>
    <row r="1" spans="1:12" x14ac:dyDescent="0.45">
      <c r="H1" s="102"/>
    </row>
    <row r="2" spans="1:12" x14ac:dyDescent="0.45">
      <c r="A2" s="36" t="s">
        <v>8</v>
      </c>
      <c r="B2" s="36" t="s">
        <v>9</v>
      </c>
      <c r="C2" s="36" t="s">
        <v>10</v>
      </c>
    </row>
    <row r="3" spans="1:12" ht="14.45" customHeight="1" x14ac:dyDescent="0.45">
      <c r="A3" s="103" t="s">
        <v>11</v>
      </c>
      <c r="B3" s="4">
        <v>21400466</v>
      </c>
    </row>
    <row r="4" spans="1:12" x14ac:dyDescent="0.45">
      <c r="A4" s="103" t="s">
        <v>13</v>
      </c>
      <c r="B4" s="5">
        <f>B3*0.2</f>
        <v>4280093.2</v>
      </c>
      <c r="H4" s="104"/>
    </row>
    <row r="5" spans="1:12" x14ac:dyDescent="0.45">
      <c r="A5" s="103" t="s">
        <v>20</v>
      </c>
      <c r="B5" s="5">
        <f>SUM(B3:B4)</f>
        <v>25680559.199999999</v>
      </c>
      <c r="L5" s="104"/>
    </row>
    <row r="6" spans="1:12" x14ac:dyDescent="0.45">
      <c r="A6" s="103" t="s">
        <v>23</v>
      </c>
      <c r="B6" s="1">
        <f>(0.07*(1+0.07)^30)/(((1+0.07)^30)-1)</f>
        <v>8.0586403511111196E-2</v>
      </c>
      <c r="C6" s="7" t="s">
        <v>67</v>
      </c>
      <c r="H6" s="8"/>
    </row>
    <row r="8" spans="1:12" x14ac:dyDescent="0.45">
      <c r="A8" s="106"/>
      <c r="B8" s="107"/>
      <c r="C8" s="107"/>
    </row>
    <row r="9" spans="1:12" x14ac:dyDescent="0.45">
      <c r="A9" s="103" t="s">
        <v>26</v>
      </c>
      <c r="B9" s="56">
        <f>B5*B6</f>
        <v>2069503.9060821789</v>
      </c>
      <c r="H9" s="104"/>
    </row>
    <row r="10" spans="1:12" x14ac:dyDescent="0.45">
      <c r="A10" s="36" t="s">
        <v>29</v>
      </c>
      <c r="L10" s="104"/>
    </row>
    <row r="11" spans="1:12" x14ac:dyDescent="0.45">
      <c r="A11" s="103" t="s">
        <v>105</v>
      </c>
      <c r="B11" s="108">
        <v>219462</v>
      </c>
      <c r="H11" s="13"/>
    </row>
    <row r="12" spans="1:12" ht="14.45" customHeight="1" x14ac:dyDescent="0.45">
      <c r="A12" s="103" t="s">
        <v>106</v>
      </c>
      <c r="B12" s="109">
        <v>189948</v>
      </c>
      <c r="C12" s="148"/>
    </row>
    <row r="13" spans="1:12" x14ac:dyDescent="0.45">
      <c r="A13" s="103" t="s">
        <v>107</v>
      </c>
      <c r="B13" s="109">
        <v>2845</v>
      </c>
      <c r="C13" s="148"/>
    </row>
    <row r="14" spans="1:12" x14ac:dyDescent="0.45">
      <c r="A14" s="103" t="s">
        <v>109</v>
      </c>
      <c r="B14" s="109">
        <v>1440</v>
      </c>
      <c r="C14" s="148"/>
    </row>
    <row r="15" spans="1:12" x14ac:dyDescent="0.45">
      <c r="A15" s="103" t="s">
        <v>41</v>
      </c>
      <c r="B15" s="108">
        <f>SUM(B11:B14)</f>
        <v>413695</v>
      </c>
    </row>
    <row r="16" spans="1:12" x14ac:dyDescent="0.45">
      <c r="A16" s="145" t="s">
        <v>43</v>
      </c>
      <c r="I16" s="104"/>
    </row>
    <row r="17" spans="1:9" x14ac:dyDescent="0.45">
      <c r="A17" s="103"/>
      <c r="B17" s="133"/>
    </row>
    <row r="18" spans="1:9" x14ac:dyDescent="0.45">
      <c r="A18" s="103" t="s">
        <v>50</v>
      </c>
      <c r="B18" s="122">
        <f>0.03*B11</f>
        <v>6583.86</v>
      </c>
    </row>
    <row r="19" spans="1:9" x14ac:dyDescent="0.45">
      <c r="A19" s="103"/>
      <c r="B19" s="122"/>
      <c r="I19" s="4"/>
    </row>
    <row r="20" spans="1:9" x14ac:dyDescent="0.45">
      <c r="A20" s="106"/>
      <c r="B20" s="123"/>
    </row>
    <row r="21" spans="1:9" x14ac:dyDescent="0.45">
      <c r="A21" s="103" t="s">
        <v>54</v>
      </c>
      <c r="B21" s="110">
        <f>SUM(B17:B20)</f>
        <v>6583.86</v>
      </c>
      <c r="I21" s="4"/>
    </row>
    <row r="22" spans="1:9" x14ac:dyDescent="0.45">
      <c r="A22" s="103" t="s">
        <v>56</v>
      </c>
      <c r="B22" s="56">
        <f>SUM(B9,B15,B21)</f>
        <v>2489782.7660821788</v>
      </c>
    </row>
    <row r="23" spans="1:9" x14ac:dyDescent="0.45">
      <c r="I23" s="108"/>
    </row>
    <row r="24" spans="1:9" x14ac:dyDescent="0.45">
      <c r="B24" s="143" t="s">
        <v>57</v>
      </c>
      <c r="C24" s="120"/>
      <c r="D24" s="120"/>
    </row>
    <row r="25" spans="1:9" x14ac:dyDescent="0.45">
      <c r="A25" s="103" t="s">
        <v>59</v>
      </c>
      <c r="B25" s="116">
        <v>246.66666666666666</v>
      </c>
      <c r="C25" s="134"/>
      <c r="D25" s="69"/>
    </row>
    <row r="26" spans="1:9" x14ac:dyDescent="0.45">
      <c r="A26" s="103" t="s">
        <v>61</v>
      </c>
      <c r="B26" s="117">
        <v>0.4</v>
      </c>
      <c r="C26" s="135"/>
      <c r="D26" s="69"/>
    </row>
    <row r="27" spans="1:9" x14ac:dyDescent="0.45">
      <c r="A27" s="103" t="s">
        <v>62</v>
      </c>
      <c r="B27" s="138">
        <f>B25*B26</f>
        <v>98.666666666666671</v>
      </c>
      <c r="C27" s="69"/>
      <c r="D27" s="69"/>
    </row>
    <row r="28" spans="1:9" x14ac:dyDescent="0.45">
      <c r="A28" s="103" t="s">
        <v>63</v>
      </c>
      <c r="B28" s="137">
        <f>B22/B27</f>
        <v>25234.284791373433</v>
      </c>
      <c r="C28" s="77"/>
      <c r="D28" s="77"/>
    </row>
    <row r="32" spans="1:9" x14ac:dyDescent="0.45">
      <c r="A32" s="118"/>
      <c r="B32" s="69"/>
      <c r="C32" s="69"/>
    </row>
    <row r="33" spans="1:3" x14ac:dyDescent="0.45">
      <c r="A33" s="118"/>
      <c r="B33" s="69"/>
      <c r="C33" s="69"/>
    </row>
    <row r="34" spans="1:3" x14ac:dyDescent="0.45">
      <c r="A34" s="119"/>
      <c r="B34" s="69"/>
      <c r="C34" s="69"/>
    </row>
    <row r="35" spans="1:3" x14ac:dyDescent="0.45">
      <c r="A35" s="69"/>
      <c r="B35" s="69"/>
      <c r="C35" s="69"/>
    </row>
    <row r="36" spans="1:3" x14ac:dyDescent="0.45">
      <c r="A36" s="119"/>
      <c r="B36" s="77"/>
      <c r="C36" s="69"/>
    </row>
    <row r="37" spans="1:3" x14ac:dyDescent="0.45">
      <c r="A37" s="119"/>
      <c r="B37" s="77"/>
      <c r="C37" s="69"/>
    </row>
    <row r="38" spans="1:3" x14ac:dyDescent="0.45">
      <c r="A38" s="69"/>
      <c r="B38" s="120"/>
      <c r="C38" s="69"/>
    </row>
    <row r="39" spans="1:3" x14ac:dyDescent="0.45">
      <c r="A39" s="119"/>
      <c r="B39" s="77"/>
      <c r="C39" s="69"/>
    </row>
  </sheetData>
  <mergeCells count="1">
    <mergeCell ref="C12:C14"/>
  </mergeCells>
  <pageMargins left="0.7" right="0.7" top="0.75" bottom="0.75" header="0.3" footer="0.3"/>
  <pageSetup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G11" sqref="G11"/>
    </sheetView>
  </sheetViews>
  <sheetFormatPr defaultRowHeight="14.25" x14ac:dyDescent="0.45"/>
  <cols>
    <col min="1" max="1" width="9.140625" style="36"/>
    <col min="2" max="2" width="18.42578125" style="36" bestFit="1" customWidth="1"/>
    <col min="3" max="3" width="43.85546875" style="36" customWidth="1"/>
    <col min="4" max="4" width="9.140625" style="36"/>
    <col min="5" max="5" width="39.85546875" style="36" bestFit="1" customWidth="1"/>
    <col min="6" max="6" width="39.5703125" style="36" customWidth="1"/>
    <col min="7" max="7" width="39.85546875" style="36" bestFit="1" customWidth="1"/>
    <col min="8" max="8" width="39.5703125" style="36" customWidth="1"/>
    <col min="9" max="9" width="39.85546875" style="36" bestFit="1" customWidth="1"/>
    <col min="10" max="10" width="39.5703125" style="36" customWidth="1"/>
    <col min="11" max="11" width="39.85546875" style="36" bestFit="1" customWidth="1"/>
    <col min="12" max="12" width="39.5703125" style="36" customWidth="1"/>
    <col min="13" max="13" width="39.85546875" style="36" customWidth="1"/>
    <col min="14" max="14" width="39.5703125" style="36" customWidth="1"/>
    <col min="15" max="15" width="39.85546875" style="36" bestFit="1" customWidth="1"/>
    <col min="16" max="16" width="39.5703125" style="36" customWidth="1"/>
    <col min="17" max="17" width="39.85546875" style="36" bestFit="1" customWidth="1"/>
    <col min="18" max="18" width="39.5703125" style="36" customWidth="1"/>
    <col min="19" max="19" width="56" style="36" bestFit="1" customWidth="1"/>
    <col min="20" max="20" width="39.5703125" style="36" customWidth="1"/>
    <col min="21" max="21" width="56.42578125" style="36" bestFit="1" customWidth="1"/>
    <col min="22" max="22" width="39.5703125" style="36" customWidth="1"/>
    <col min="23" max="16384" width="9.140625" style="36"/>
  </cols>
  <sheetData>
    <row r="1" spans="1:6" ht="15.75" x14ac:dyDescent="0.55000000000000004">
      <c r="A1" s="36" t="s">
        <v>110</v>
      </c>
      <c r="B1" s="36" t="s">
        <v>111</v>
      </c>
      <c r="C1" s="36" t="s">
        <v>112</v>
      </c>
    </row>
    <row r="2" spans="1:6" x14ac:dyDescent="0.45">
      <c r="A2" s="36">
        <v>1998</v>
      </c>
      <c r="B2" s="36">
        <v>389.5</v>
      </c>
      <c r="C2" s="36">
        <f>$B$23/B2</f>
        <v>1.5596919127086009</v>
      </c>
    </row>
    <row r="3" spans="1:6" x14ac:dyDescent="0.45">
      <c r="A3" s="36">
        <v>1999</v>
      </c>
      <c r="B3" s="36">
        <v>390.6</v>
      </c>
      <c r="C3" s="36">
        <f t="shared" ref="C3:C23" si="0">$B$23/B3</f>
        <v>1.5552995391705069</v>
      </c>
      <c r="F3" s="145"/>
    </row>
    <row r="4" spans="1:6" x14ac:dyDescent="0.45">
      <c r="A4" s="36">
        <v>2000</v>
      </c>
      <c r="B4" s="36">
        <v>394.1</v>
      </c>
      <c r="C4" s="36">
        <f t="shared" si="0"/>
        <v>1.5414869322506977</v>
      </c>
    </row>
    <row r="5" spans="1:6" x14ac:dyDescent="0.45">
      <c r="A5" s="36">
        <v>2001</v>
      </c>
      <c r="B5" s="36">
        <v>394.3</v>
      </c>
      <c r="C5" s="36">
        <f t="shared" si="0"/>
        <v>1.5407050469185899</v>
      </c>
    </row>
    <row r="6" spans="1:6" x14ac:dyDescent="0.45">
      <c r="A6" s="36">
        <v>2002</v>
      </c>
      <c r="B6" s="36">
        <v>395.6</v>
      </c>
      <c r="C6" s="36">
        <f t="shared" si="0"/>
        <v>1.5356420626895853</v>
      </c>
    </row>
    <row r="7" spans="1:6" x14ac:dyDescent="0.45">
      <c r="A7" s="36">
        <v>2003</v>
      </c>
      <c r="B7" s="36">
        <v>402</v>
      </c>
      <c r="C7" s="36">
        <f t="shared" si="0"/>
        <v>1.5111940298507462</v>
      </c>
    </row>
    <row r="8" spans="1:6" x14ac:dyDescent="0.45">
      <c r="A8" s="36">
        <v>2004</v>
      </c>
      <c r="B8" s="36">
        <v>444.2</v>
      </c>
      <c r="C8" s="36">
        <f t="shared" si="0"/>
        <v>1.3676271949572265</v>
      </c>
      <c r="E8" s="140"/>
      <c r="F8" s="140"/>
    </row>
    <row r="9" spans="1:6" x14ac:dyDescent="0.45">
      <c r="A9" s="36">
        <v>2005</v>
      </c>
      <c r="B9" s="36">
        <v>468.2</v>
      </c>
      <c r="C9" s="36">
        <f t="shared" si="0"/>
        <v>1.2975224263135412</v>
      </c>
    </row>
    <row r="10" spans="1:6" x14ac:dyDescent="0.45">
      <c r="A10" s="36">
        <v>2006</v>
      </c>
      <c r="B10" s="36">
        <v>499.6</v>
      </c>
      <c r="C10" s="36">
        <f t="shared" si="0"/>
        <v>1.215972778222578</v>
      </c>
    </row>
    <row r="11" spans="1:6" x14ac:dyDescent="0.45">
      <c r="A11" s="36">
        <v>2007</v>
      </c>
      <c r="B11" s="36">
        <v>525.4</v>
      </c>
      <c r="C11" s="36">
        <f t="shared" si="0"/>
        <v>1.1562618956985156</v>
      </c>
    </row>
    <row r="12" spans="1:6" x14ac:dyDescent="0.45">
      <c r="A12" s="36">
        <v>2008</v>
      </c>
      <c r="B12" s="36">
        <v>575.4</v>
      </c>
      <c r="C12" s="36">
        <f t="shared" si="0"/>
        <v>1.0557872784150157</v>
      </c>
    </row>
    <row r="13" spans="1:6" x14ac:dyDescent="0.45">
      <c r="A13" s="36">
        <v>2009</v>
      </c>
      <c r="B13" s="36">
        <v>521.9</v>
      </c>
      <c r="C13" s="36">
        <f t="shared" si="0"/>
        <v>1.1640160950373635</v>
      </c>
    </row>
    <row r="14" spans="1:6" x14ac:dyDescent="0.45">
      <c r="A14" s="36">
        <v>2010</v>
      </c>
      <c r="B14" s="36">
        <v>550.79999999999995</v>
      </c>
      <c r="C14" s="36">
        <f t="shared" si="0"/>
        <v>1.1029411764705883</v>
      </c>
    </row>
    <row r="15" spans="1:6" x14ac:dyDescent="0.45">
      <c r="A15" s="36">
        <v>2011</v>
      </c>
      <c r="B15" s="36">
        <v>585.70000000000005</v>
      </c>
      <c r="C15" s="36">
        <f t="shared" si="0"/>
        <v>1.0372204200102442</v>
      </c>
    </row>
    <row r="16" spans="1:6" x14ac:dyDescent="0.45">
      <c r="A16" s="36">
        <v>2012</v>
      </c>
      <c r="B16" s="36">
        <v>584.6</v>
      </c>
      <c r="C16" s="36">
        <f t="shared" si="0"/>
        <v>1.0391720834758809</v>
      </c>
    </row>
    <row r="17" spans="1:3" x14ac:dyDescent="0.45">
      <c r="A17" s="36">
        <v>2013</v>
      </c>
      <c r="B17" s="36">
        <v>567.20000000000005</v>
      </c>
      <c r="C17" s="36">
        <f t="shared" si="0"/>
        <v>1.0710507757404795</v>
      </c>
    </row>
    <row r="18" spans="1:3" x14ac:dyDescent="0.45">
      <c r="A18" s="36">
        <v>2014</v>
      </c>
      <c r="B18" s="36">
        <v>576.1</v>
      </c>
      <c r="C18" s="36">
        <f t="shared" si="0"/>
        <v>1.054504426314876</v>
      </c>
    </row>
    <row r="19" spans="1:3" x14ac:dyDescent="0.45">
      <c r="A19" s="36">
        <v>2015</v>
      </c>
      <c r="B19" s="36">
        <v>556.79999999999995</v>
      </c>
      <c r="C19" s="36">
        <f t="shared" si="0"/>
        <v>1.0910560344827587</v>
      </c>
    </row>
    <row r="20" spans="1:3" x14ac:dyDescent="0.45">
      <c r="A20" s="36">
        <v>2016</v>
      </c>
      <c r="B20" s="36">
        <v>541.70000000000005</v>
      </c>
      <c r="C20" s="36">
        <f t="shared" si="0"/>
        <v>1.1214694480339671</v>
      </c>
    </row>
    <row r="21" spans="1:3" x14ac:dyDescent="0.45">
      <c r="A21" s="36">
        <v>2017</v>
      </c>
      <c r="B21" s="36">
        <v>567.5</v>
      </c>
      <c r="C21" s="36">
        <f t="shared" si="0"/>
        <v>1.0704845814977975</v>
      </c>
    </row>
    <row r="22" spans="1:3" x14ac:dyDescent="0.45">
      <c r="A22" s="36">
        <v>2018</v>
      </c>
      <c r="B22" s="36">
        <v>603.1</v>
      </c>
      <c r="C22" s="36">
        <f t="shared" si="0"/>
        <v>1.0072956391974797</v>
      </c>
    </row>
    <row r="23" spans="1:3" x14ac:dyDescent="0.45">
      <c r="A23" s="36">
        <v>2019</v>
      </c>
      <c r="B23" s="36">
        <v>607.5</v>
      </c>
      <c r="C23" s="36">
        <f t="shared" si="0"/>
        <v>1</v>
      </c>
    </row>
  </sheetData>
  <pageMargins left="0.7" right="0.7" top="0.75" bottom="0.75" header="0.3" footer="0.3"/>
  <pageSetup orientation="portrait" verticalDpi="0"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6"/>
  <sheetViews>
    <sheetView workbookViewId="0">
      <selection activeCell="A16" sqref="A16:F22"/>
    </sheetView>
  </sheetViews>
  <sheetFormatPr defaultRowHeight="14.25" x14ac:dyDescent="0.45"/>
  <cols>
    <col min="1" max="1" width="28.140625" style="36" customWidth="1"/>
    <col min="2" max="2" width="8.85546875" style="36" customWidth="1"/>
    <col min="3" max="4" width="13.42578125" style="36" customWidth="1"/>
    <col min="5" max="6" width="7.28515625" style="36" customWidth="1"/>
    <col min="7" max="7" width="7.7109375" style="36" customWidth="1"/>
    <col min="8" max="8" width="12.5703125" style="36" customWidth="1"/>
    <col min="9" max="9" width="14.28515625" style="36" customWidth="1"/>
    <col min="10" max="10" width="10.85546875" style="36" customWidth="1"/>
    <col min="11" max="11" width="9.140625" style="36"/>
    <col min="12" max="12" width="11.85546875" style="36" bestFit="1" customWidth="1"/>
    <col min="13" max="13" width="12.42578125" style="36" customWidth="1"/>
    <col min="14" max="14" width="13.85546875" style="36" customWidth="1"/>
    <col min="15" max="18" width="11.85546875" style="36" customWidth="1"/>
    <col min="19" max="19" width="9.140625" style="36"/>
    <col min="20" max="20" width="5.28515625" style="36" bestFit="1" customWidth="1"/>
    <col min="21" max="21" width="15.5703125" style="36" bestFit="1" customWidth="1"/>
    <col min="22" max="16384" width="9.140625" style="36"/>
  </cols>
  <sheetData>
    <row r="1" spans="1:17" x14ac:dyDescent="0.45">
      <c r="A1" s="78" t="s">
        <v>113</v>
      </c>
      <c r="B1" s="79" t="s">
        <v>114</v>
      </c>
      <c r="C1" s="214" t="s">
        <v>115</v>
      </c>
      <c r="D1" s="215"/>
      <c r="E1" s="216" t="s">
        <v>116</v>
      </c>
      <c r="F1" s="217"/>
      <c r="H1" s="147" t="s">
        <v>117</v>
      </c>
      <c r="I1" s="218" t="s">
        <v>118</v>
      </c>
      <c r="J1" s="218"/>
      <c r="L1" s="80" t="s">
        <v>117</v>
      </c>
      <c r="M1" s="144" t="s">
        <v>119</v>
      </c>
      <c r="N1" s="146" t="s">
        <v>120</v>
      </c>
      <c r="O1" s="81"/>
      <c r="P1" s="81"/>
      <c r="Q1" s="81"/>
    </row>
    <row r="2" spans="1:17" x14ac:dyDescent="0.45">
      <c r="A2" s="82" t="s">
        <v>121</v>
      </c>
      <c r="B2" s="83">
        <v>0.22</v>
      </c>
      <c r="C2" s="210" t="s">
        <v>122</v>
      </c>
      <c r="D2" s="211"/>
      <c r="E2" s="212">
        <f>(B2*0.15)+B2</f>
        <v>0.253</v>
      </c>
      <c r="F2" s="213"/>
      <c r="H2" s="143">
        <v>2021</v>
      </c>
      <c r="I2" s="206">
        <v>14144276</v>
      </c>
      <c r="J2" s="206"/>
      <c r="L2" s="84">
        <v>2020</v>
      </c>
      <c r="M2" s="85">
        <v>14693750</v>
      </c>
      <c r="N2" s="86">
        <v>17819058</v>
      </c>
      <c r="O2" s="87"/>
      <c r="P2" s="87"/>
      <c r="Q2" s="87"/>
    </row>
    <row r="3" spans="1:17" x14ac:dyDescent="0.45">
      <c r="A3" s="82" t="s">
        <v>123</v>
      </c>
      <c r="B3" s="83">
        <v>0.52</v>
      </c>
      <c r="C3" s="210" t="s">
        <v>122</v>
      </c>
      <c r="D3" s="211"/>
      <c r="E3" s="212">
        <f t="shared" ref="E3:E5" si="0">(B3*0.15)+B3</f>
        <v>0.59799999999999998</v>
      </c>
      <c r="F3" s="213"/>
      <c r="H3" s="143">
        <v>2020</v>
      </c>
      <c r="I3" s="206">
        <v>17872279</v>
      </c>
      <c r="J3" s="206"/>
      <c r="L3" s="84">
        <v>2021</v>
      </c>
      <c r="M3" s="85">
        <f>(M2*0.030415958)+M2</f>
        <v>15140674.4828625</v>
      </c>
      <c r="N3" s="86">
        <f>(N2*0.02)+N2</f>
        <v>18175439.16</v>
      </c>
      <c r="O3" s="87"/>
      <c r="P3" s="87"/>
      <c r="Q3" s="87"/>
    </row>
    <row r="4" spans="1:17" x14ac:dyDescent="0.45">
      <c r="A4" s="82" t="s">
        <v>124</v>
      </c>
      <c r="B4" s="83">
        <v>0.31</v>
      </c>
      <c r="C4" s="210" t="s">
        <v>122</v>
      </c>
      <c r="D4" s="211"/>
      <c r="E4" s="212">
        <f t="shared" si="0"/>
        <v>0.35649999999999998</v>
      </c>
      <c r="F4" s="213"/>
      <c r="H4" s="143">
        <v>2019</v>
      </c>
      <c r="I4" s="206">
        <v>21892563</v>
      </c>
      <c r="J4" s="206"/>
      <c r="L4" s="84">
        <v>2022</v>
      </c>
      <c r="M4" s="85">
        <f t="shared" ref="M4:M32" si="1">(M3*0.030415958)+M3</f>
        <v>15601192.602024918</v>
      </c>
      <c r="N4" s="86">
        <f t="shared" ref="N4:N31" si="2">(N3*0.02)+N3</f>
        <v>18538947.9432</v>
      </c>
      <c r="O4" s="87"/>
      <c r="P4" s="87"/>
      <c r="Q4" s="87"/>
    </row>
    <row r="5" spans="1:17" ht="14.65" thickBot="1" x14ac:dyDescent="0.5">
      <c r="A5" s="88" t="s">
        <v>125</v>
      </c>
      <c r="B5" s="89">
        <v>0.52</v>
      </c>
      <c r="C5" s="202" t="s">
        <v>122</v>
      </c>
      <c r="D5" s="203"/>
      <c r="E5" s="204">
        <f t="shared" si="0"/>
        <v>0.59799999999999998</v>
      </c>
      <c r="F5" s="205"/>
      <c r="H5" s="143">
        <v>2018</v>
      </c>
      <c r="I5" s="206">
        <v>26487615</v>
      </c>
      <c r="J5" s="206"/>
      <c r="L5" s="84">
        <v>2023</v>
      </c>
      <c r="M5" s="85">
        <f t="shared" si="1"/>
        <v>16075717.820958018</v>
      </c>
      <c r="N5" s="86">
        <f t="shared" si="2"/>
        <v>18909726.902063999</v>
      </c>
      <c r="O5" s="87"/>
      <c r="P5" s="87"/>
      <c r="Q5" s="87"/>
    </row>
    <row r="6" spans="1:17" x14ac:dyDescent="0.45">
      <c r="A6" s="90" t="s">
        <v>126</v>
      </c>
      <c r="H6" s="143">
        <v>2017</v>
      </c>
      <c r="I6" s="200">
        <v>20614276</v>
      </c>
      <c r="J6" s="201"/>
      <c r="L6" s="84">
        <v>2024</v>
      </c>
      <c r="M6" s="85">
        <f t="shared" si="1"/>
        <v>16564676.179020129</v>
      </c>
      <c r="N6" s="86">
        <f t="shared" si="2"/>
        <v>19287921.440105278</v>
      </c>
      <c r="O6" s="87"/>
      <c r="P6" s="87"/>
      <c r="Q6" s="87"/>
    </row>
    <row r="7" spans="1:17" x14ac:dyDescent="0.45">
      <c r="H7" s="143">
        <v>2016</v>
      </c>
      <c r="I7" s="200">
        <v>25758983</v>
      </c>
      <c r="J7" s="201"/>
      <c r="L7" s="84">
        <v>2025</v>
      </c>
      <c r="M7" s="85">
        <f t="shared" si="1"/>
        <v>17068506.673964806</v>
      </c>
      <c r="N7" s="86">
        <f t="shared" si="2"/>
        <v>19673679.868907385</v>
      </c>
      <c r="O7" s="87"/>
      <c r="P7" s="87"/>
      <c r="Q7" s="87"/>
    </row>
    <row r="8" spans="1:17" x14ac:dyDescent="0.45">
      <c r="H8" s="143">
        <v>2015</v>
      </c>
      <c r="I8" s="200">
        <v>24554338</v>
      </c>
      <c r="J8" s="201"/>
      <c r="L8" s="84">
        <v>2026</v>
      </c>
      <c r="M8" s="85">
        <f t="shared" si="1"/>
        <v>17587661.656082839</v>
      </c>
      <c r="N8" s="86">
        <f t="shared" si="2"/>
        <v>20067153.46628553</v>
      </c>
      <c r="O8" s="87"/>
      <c r="P8" s="87"/>
      <c r="Q8" s="87"/>
    </row>
    <row r="9" spans="1:17" ht="14.65" thickBot="1" x14ac:dyDescent="0.5">
      <c r="H9" s="143">
        <v>2014</v>
      </c>
      <c r="I9" s="200">
        <v>30757480</v>
      </c>
      <c r="J9" s="201"/>
      <c r="L9" s="84">
        <v>2027</v>
      </c>
      <c r="M9" s="85">
        <f t="shared" si="1"/>
        <v>18122607.234332465</v>
      </c>
      <c r="N9" s="86">
        <f t="shared" si="2"/>
        <v>20468496.535611242</v>
      </c>
      <c r="O9" s="87"/>
      <c r="P9" s="87"/>
      <c r="Q9" s="87"/>
    </row>
    <row r="10" spans="1:17" x14ac:dyDescent="0.45">
      <c r="A10" s="207" t="s">
        <v>127</v>
      </c>
      <c r="B10" s="208"/>
      <c r="C10" s="208"/>
      <c r="D10" s="208"/>
      <c r="E10" s="209"/>
      <c r="H10" s="143">
        <v>2013</v>
      </c>
      <c r="I10" s="200">
        <v>31887107</v>
      </c>
      <c r="J10" s="201"/>
      <c r="L10" s="84">
        <v>2028</v>
      </c>
      <c r="M10" s="85">
        <f t="shared" si="1"/>
        <v>18673823.694822416</v>
      </c>
      <c r="N10" s="86">
        <f t="shared" si="2"/>
        <v>20877866.466323465</v>
      </c>
      <c r="O10" s="87"/>
      <c r="P10" s="87"/>
      <c r="Q10" s="87"/>
    </row>
    <row r="11" spans="1:17" x14ac:dyDescent="0.45">
      <c r="A11" s="197" t="s">
        <v>128</v>
      </c>
      <c r="B11" s="198"/>
      <c r="C11" s="198"/>
      <c r="D11" s="198"/>
      <c r="E11" s="199"/>
      <c r="H11" s="143">
        <v>2012</v>
      </c>
      <c r="I11" s="200">
        <v>30878782</v>
      </c>
      <c r="J11" s="201"/>
      <c r="L11" s="84">
        <v>2029</v>
      </c>
      <c r="M11" s="85">
        <f t="shared" si="1"/>
        <v>19241805.93202354</v>
      </c>
      <c r="N11" s="86">
        <f t="shared" si="2"/>
        <v>21295423.795649935</v>
      </c>
      <c r="O11" s="87"/>
      <c r="P11" s="87"/>
      <c r="Q11" s="87"/>
    </row>
    <row r="12" spans="1:17" x14ac:dyDescent="0.45">
      <c r="A12" s="197" t="s">
        <v>129</v>
      </c>
      <c r="B12" s="198"/>
      <c r="C12" s="198"/>
      <c r="D12" s="198"/>
      <c r="E12" s="199"/>
      <c r="H12" s="143">
        <v>2011</v>
      </c>
      <c r="I12" s="200">
        <v>32776271</v>
      </c>
      <c r="J12" s="201"/>
      <c r="L12" s="84">
        <v>2030</v>
      </c>
      <c r="M12" s="85">
        <f t="shared" si="1"/>
        <v>19827063.893096119</v>
      </c>
      <c r="N12" s="86">
        <f t="shared" si="2"/>
        <v>21721332.271562934</v>
      </c>
      <c r="O12" s="87"/>
      <c r="P12" s="87"/>
      <c r="Q12" s="87"/>
    </row>
    <row r="13" spans="1:17" ht="14.65" thickBot="1" x14ac:dyDescent="0.5">
      <c r="A13" s="189" t="s">
        <v>130</v>
      </c>
      <c r="B13" s="190"/>
      <c r="C13" s="190"/>
      <c r="D13" s="190"/>
      <c r="E13" s="191"/>
      <c r="H13" s="178"/>
      <c r="I13" s="178"/>
      <c r="J13" s="178"/>
      <c r="L13" s="84">
        <v>2031</v>
      </c>
      <c r="M13" s="85">
        <f t="shared" si="1"/>
        <v>20430123.035731848</v>
      </c>
      <c r="N13" s="86">
        <f t="shared" si="2"/>
        <v>22155758.916994192</v>
      </c>
      <c r="O13" s="87"/>
      <c r="P13" s="87"/>
      <c r="Q13" s="87"/>
    </row>
    <row r="14" spans="1:17" x14ac:dyDescent="0.45">
      <c r="H14" s="143" t="s">
        <v>131</v>
      </c>
      <c r="I14" s="192">
        <f>MAX(I2:J12)</f>
        <v>32776271</v>
      </c>
      <c r="J14" s="163"/>
      <c r="L14" s="84">
        <v>2032</v>
      </c>
      <c r="M14" s="85">
        <f t="shared" si="1"/>
        <v>21051524.799921501</v>
      </c>
      <c r="N14" s="86">
        <f t="shared" si="2"/>
        <v>22598874.095334075</v>
      </c>
      <c r="O14" s="87"/>
      <c r="P14" s="87"/>
      <c r="Q14" s="87"/>
    </row>
    <row r="15" spans="1:17" ht="15" customHeight="1" thickBot="1" x14ac:dyDescent="0.5">
      <c r="H15" s="143" t="s">
        <v>132</v>
      </c>
      <c r="I15" s="193">
        <v>2693093</v>
      </c>
      <c r="J15" s="194"/>
      <c r="L15" s="84">
        <v>2033</v>
      </c>
      <c r="M15" s="85">
        <f t="shared" si="1"/>
        <v>21691827.094071873</v>
      </c>
      <c r="N15" s="86">
        <f t="shared" si="2"/>
        <v>23050851.577240758</v>
      </c>
      <c r="O15" s="87"/>
      <c r="P15" s="87"/>
      <c r="Q15" s="87"/>
    </row>
    <row r="16" spans="1:17" x14ac:dyDescent="0.45">
      <c r="A16" s="180" t="s">
        <v>133</v>
      </c>
      <c r="B16" s="181"/>
      <c r="C16" s="181"/>
      <c r="D16" s="181"/>
      <c r="E16" s="181"/>
      <c r="F16" s="182"/>
      <c r="H16" s="143" t="s">
        <v>134</v>
      </c>
      <c r="I16" s="192">
        <f>I15*12</f>
        <v>32317116</v>
      </c>
      <c r="J16" s="192"/>
      <c r="L16" s="84">
        <v>2034</v>
      </c>
      <c r="M16" s="85">
        <f t="shared" si="1"/>
        <v>22351604.795908425</v>
      </c>
      <c r="N16" s="86">
        <f t="shared" si="2"/>
        <v>23511868.608785573</v>
      </c>
      <c r="O16" s="87"/>
      <c r="P16" s="87"/>
      <c r="Q16" s="87"/>
    </row>
    <row r="17" spans="1:18" x14ac:dyDescent="0.45">
      <c r="A17" s="183"/>
      <c r="B17" s="184"/>
      <c r="C17" s="184"/>
      <c r="D17" s="184"/>
      <c r="E17" s="184"/>
      <c r="F17" s="185"/>
      <c r="L17" s="84">
        <v>2035</v>
      </c>
      <c r="M17" s="85">
        <f t="shared" si="1"/>
        <v>23031450.268613376</v>
      </c>
      <c r="N17" s="86">
        <f t="shared" si="2"/>
        <v>23982105.980961286</v>
      </c>
      <c r="O17" s="87"/>
      <c r="P17" s="87"/>
      <c r="Q17" s="87"/>
    </row>
    <row r="18" spans="1:18" x14ac:dyDescent="0.45">
      <c r="A18" s="183"/>
      <c r="B18" s="184"/>
      <c r="C18" s="184"/>
      <c r="D18" s="184"/>
      <c r="E18" s="184"/>
      <c r="F18" s="185"/>
      <c r="H18" s="91" t="s">
        <v>126</v>
      </c>
      <c r="I18" s="91"/>
      <c r="J18" s="91"/>
      <c r="L18" s="84">
        <v>2036</v>
      </c>
      <c r="M18" s="85">
        <f t="shared" si="1"/>
        <v>23731973.892662607</v>
      </c>
      <c r="N18" s="86">
        <f t="shared" si="2"/>
        <v>24461748.10058051</v>
      </c>
      <c r="O18" s="87"/>
      <c r="P18" s="87"/>
      <c r="Q18" s="87"/>
    </row>
    <row r="19" spans="1:18" ht="14.65" thickBot="1" x14ac:dyDescent="0.5">
      <c r="A19" s="183"/>
      <c r="B19" s="184"/>
      <c r="C19" s="184"/>
      <c r="D19" s="184"/>
      <c r="E19" s="184"/>
      <c r="F19" s="185"/>
      <c r="H19" s="91"/>
      <c r="I19" s="91"/>
      <c r="J19" s="91"/>
      <c r="L19" s="84">
        <v>2037</v>
      </c>
      <c r="M19" s="85">
        <f t="shared" si="1"/>
        <v>24453804.61383893</v>
      </c>
      <c r="N19" s="86">
        <f t="shared" si="2"/>
        <v>24950983.062592119</v>
      </c>
      <c r="O19" s="87"/>
      <c r="P19" s="87"/>
      <c r="Q19" s="87"/>
    </row>
    <row r="20" spans="1:18" x14ac:dyDescent="0.45">
      <c r="A20" s="183"/>
      <c r="B20" s="184"/>
      <c r="C20" s="184"/>
      <c r="D20" s="184"/>
      <c r="E20" s="184"/>
      <c r="F20" s="185"/>
      <c r="H20" s="80" t="s">
        <v>117</v>
      </c>
      <c r="I20" s="195" t="s">
        <v>135</v>
      </c>
      <c r="J20" s="196"/>
      <c r="L20" s="84">
        <v>2038</v>
      </c>
      <c r="M20" s="85">
        <f t="shared" si="1"/>
        <v>25197590.50791366</v>
      </c>
      <c r="N20" s="86">
        <f t="shared" si="2"/>
        <v>25450002.723843962</v>
      </c>
      <c r="O20" s="87"/>
      <c r="P20" s="87"/>
      <c r="Q20" s="87"/>
    </row>
    <row r="21" spans="1:18" x14ac:dyDescent="0.45">
      <c r="A21" s="183"/>
      <c r="B21" s="184"/>
      <c r="C21" s="184"/>
      <c r="D21" s="184"/>
      <c r="E21" s="184"/>
      <c r="F21" s="185"/>
      <c r="H21" s="92">
        <v>2011</v>
      </c>
      <c r="I21" s="173">
        <v>1.35E-2</v>
      </c>
      <c r="J21" s="174"/>
      <c r="L21" s="84">
        <v>2039</v>
      </c>
      <c r="M21" s="85">
        <f t="shared" si="1"/>
        <v>25963999.362503562</v>
      </c>
      <c r="N21" s="86">
        <f t="shared" si="2"/>
        <v>25959002.778320841</v>
      </c>
      <c r="O21" s="87"/>
      <c r="P21" s="87"/>
      <c r="Q21" s="87"/>
    </row>
    <row r="22" spans="1:18" ht="14.65" thickBot="1" x14ac:dyDescent="0.5">
      <c r="A22" s="186"/>
      <c r="B22" s="187"/>
      <c r="C22" s="187"/>
      <c r="D22" s="187"/>
      <c r="E22" s="187"/>
      <c r="F22" s="188"/>
      <c r="H22" s="92">
        <v>2012</v>
      </c>
      <c r="I22" s="173">
        <v>2.63E-2</v>
      </c>
      <c r="J22" s="174"/>
      <c r="L22" s="84">
        <v>2040</v>
      </c>
      <c r="M22" s="85">
        <f t="shared" si="1"/>
        <v>26753719.276625499</v>
      </c>
      <c r="N22" s="86">
        <f t="shared" si="2"/>
        <v>26478182.833887257</v>
      </c>
      <c r="O22" s="87"/>
      <c r="P22" s="87"/>
      <c r="Q22" s="87"/>
    </row>
    <row r="23" spans="1:18" x14ac:dyDescent="0.45">
      <c r="H23" s="92">
        <v>2013</v>
      </c>
      <c r="I23" s="173">
        <v>1.77E-2</v>
      </c>
      <c r="J23" s="174"/>
      <c r="L23" s="84">
        <v>2041</v>
      </c>
      <c r="M23" s="85">
        <f t="shared" si="1"/>
        <v>27567459.278487131</v>
      </c>
      <c r="N23" s="86">
        <f t="shared" si="2"/>
        <v>27007746.490565002</v>
      </c>
      <c r="O23" s="87"/>
      <c r="P23" s="87"/>
      <c r="Q23" s="87"/>
    </row>
    <row r="24" spans="1:18" ht="14.65" thickBot="1" x14ac:dyDescent="0.5">
      <c r="H24" s="92">
        <v>2014</v>
      </c>
      <c r="I24" s="173">
        <v>1.4999999999999999E-2</v>
      </c>
      <c r="J24" s="174"/>
      <c r="L24" s="84">
        <v>2042</v>
      </c>
      <c r="M24" s="85">
        <f t="shared" si="1"/>
        <v>28405949.962068304</v>
      </c>
      <c r="N24" s="86">
        <f t="shared" si="2"/>
        <v>27547901.420376301</v>
      </c>
      <c r="O24" s="87"/>
      <c r="P24" s="87"/>
      <c r="Q24" s="87"/>
    </row>
    <row r="25" spans="1:18" x14ac:dyDescent="0.45">
      <c r="A25" s="180" t="s">
        <v>136</v>
      </c>
      <c r="B25" s="181"/>
      <c r="C25" s="181"/>
      <c r="D25" s="181"/>
      <c r="E25" s="181"/>
      <c r="F25" s="182"/>
      <c r="H25" s="92">
        <v>2015</v>
      </c>
      <c r="I25" s="173">
        <v>1.46E-2</v>
      </c>
      <c r="J25" s="174"/>
      <c r="L25" s="84">
        <v>2043</v>
      </c>
      <c r="M25" s="85">
        <f t="shared" si="1"/>
        <v>29269944.143064674</v>
      </c>
      <c r="N25" s="86">
        <f t="shared" si="2"/>
        <v>28098859.448783826</v>
      </c>
      <c r="O25" s="87"/>
      <c r="P25" s="87"/>
      <c r="Q25" s="87"/>
      <c r="R25" s="87"/>
    </row>
    <row r="26" spans="1:18" x14ac:dyDescent="0.45">
      <c r="A26" s="183"/>
      <c r="B26" s="184"/>
      <c r="C26" s="184"/>
      <c r="D26" s="184"/>
      <c r="E26" s="184"/>
      <c r="F26" s="185"/>
      <c r="H26" s="92">
        <v>2016</v>
      </c>
      <c r="I26" s="173">
        <v>0.01</v>
      </c>
      <c r="J26" s="174"/>
      <c r="L26" s="84">
        <v>2044</v>
      </c>
      <c r="M26" s="85">
        <f t="shared" si="1"/>
        <v>30160217.534782477</v>
      </c>
      <c r="N26" s="86">
        <f t="shared" si="2"/>
        <v>28660836.637759503</v>
      </c>
      <c r="O26" s="87"/>
      <c r="P26" s="87"/>
      <c r="Q26" s="87"/>
      <c r="R26" s="87"/>
    </row>
    <row r="27" spans="1:18" x14ac:dyDescent="0.45">
      <c r="A27" s="183"/>
      <c r="B27" s="184"/>
      <c r="C27" s="184"/>
      <c r="D27" s="184"/>
      <c r="E27" s="184"/>
      <c r="F27" s="185"/>
      <c r="H27" s="92">
        <v>2017</v>
      </c>
      <c r="I27" s="173">
        <v>1.2999999999999999E-2</v>
      </c>
      <c r="J27" s="174"/>
      <c r="L27" s="84">
        <v>2045</v>
      </c>
      <c r="M27" s="85">
        <f t="shared" si="1"/>
        <v>31077569.444591284</v>
      </c>
      <c r="N27" s="86">
        <f t="shared" si="2"/>
        <v>29234053.370514695</v>
      </c>
      <c r="O27" s="87"/>
      <c r="P27" s="87"/>
      <c r="Q27" s="87"/>
      <c r="R27" s="87"/>
    </row>
    <row r="28" spans="1:18" x14ac:dyDescent="0.45">
      <c r="A28" s="183"/>
      <c r="B28" s="184"/>
      <c r="C28" s="184"/>
      <c r="D28" s="184"/>
      <c r="E28" s="184"/>
      <c r="F28" s="185"/>
      <c r="H28" s="92">
        <v>2018</v>
      </c>
      <c r="I28" s="173">
        <v>1.7999999999999999E-2</v>
      </c>
      <c r="J28" s="174"/>
      <c r="L28" s="84">
        <v>2046</v>
      </c>
      <c r="M28" s="85">
        <f t="shared" si="1"/>
        <v>32022823.491560057</v>
      </c>
      <c r="N28" s="86">
        <f t="shared" si="2"/>
        <v>29818734.437924989</v>
      </c>
      <c r="O28" s="87"/>
      <c r="P28" s="87"/>
      <c r="Q28" s="87"/>
      <c r="R28" s="87"/>
    </row>
    <row r="29" spans="1:18" x14ac:dyDescent="0.45">
      <c r="A29" s="183"/>
      <c r="B29" s="184"/>
      <c r="C29" s="184"/>
      <c r="D29" s="184"/>
      <c r="E29" s="184"/>
      <c r="F29" s="185"/>
      <c r="H29" s="92">
        <v>2019</v>
      </c>
      <c r="I29" s="173">
        <v>2.1999999999999999E-2</v>
      </c>
      <c r="J29" s="174"/>
      <c r="L29" s="84">
        <v>2047</v>
      </c>
      <c r="M29" s="85">
        <f t="shared" si="1"/>
        <v>32996828.34592076</v>
      </c>
      <c r="N29" s="86">
        <f t="shared" si="2"/>
        <v>30415109.126683488</v>
      </c>
      <c r="O29" s="87"/>
      <c r="P29" s="87"/>
      <c r="Q29" s="87"/>
      <c r="R29" s="87"/>
    </row>
    <row r="30" spans="1:18" x14ac:dyDescent="0.45">
      <c r="A30" s="183"/>
      <c r="B30" s="184"/>
      <c r="C30" s="184"/>
      <c r="D30" s="184"/>
      <c r="E30" s="184"/>
      <c r="F30" s="185"/>
      <c r="H30" s="92">
        <v>2020</v>
      </c>
      <c r="I30" s="173">
        <v>1.6E-2</v>
      </c>
      <c r="J30" s="174"/>
      <c r="L30" s="84">
        <v>2048</v>
      </c>
      <c r="M30" s="85">
        <f t="shared" si="1"/>
        <v>34000458.491023496</v>
      </c>
      <c r="N30" s="86">
        <f t="shared" si="2"/>
        <v>31023411.309217159</v>
      </c>
      <c r="O30" s="93"/>
      <c r="P30" s="93"/>
      <c r="Q30" s="93"/>
      <c r="R30" s="93"/>
    </row>
    <row r="31" spans="1:18" x14ac:dyDescent="0.45">
      <c r="A31" s="183"/>
      <c r="B31" s="184"/>
      <c r="C31" s="184"/>
      <c r="D31" s="184"/>
      <c r="E31" s="184"/>
      <c r="F31" s="185"/>
      <c r="H31" s="92">
        <v>2021</v>
      </c>
      <c r="I31" s="173">
        <v>1.2999999999999999E-2</v>
      </c>
      <c r="J31" s="174"/>
      <c r="L31" s="84">
        <v>2049</v>
      </c>
      <c r="M31" s="85">
        <f t="shared" si="1"/>
        <v>35034615.008467212</v>
      </c>
      <c r="N31" s="86">
        <f t="shared" si="2"/>
        <v>31643879.535401501</v>
      </c>
      <c r="O31" s="93"/>
      <c r="P31" s="93"/>
      <c r="Q31" s="93"/>
      <c r="R31" s="93"/>
    </row>
    <row r="32" spans="1:18" ht="14.65" thickBot="1" x14ac:dyDescent="0.5">
      <c r="A32" s="186"/>
      <c r="B32" s="187"/>
      <c r="C32" s="187"/>
      <c r="D32" s="187"/>
      <c r="E32" s="187"/>
      <c r="F32" s="188"/>
      <c r="H32" s="92">
        <v>2022</v>
      </c>
      <c r="I32" s="173">
        <v>5.8000000000000003E-2</v>
      </c>
      <c r="J32" s="174"/>
      <c r="L32" s="84">
        <v>2050</v>
      </c>
      <c r="M32" s="85">
        <f t="shared" si="1"/>
        <v>36100226.387110919</v>
      </c>
      <c r="N32" s="86">
        <f>(N31*0.02)+N31</f>
        <v>32276757.126109529</v>
      </c>
      <c r="O32" s="93"/>
      <c r="P32" s="93"/>
      <c r="Q32" s="93"/>
      <c r="R32" s="93"/>
    </row>
    <row r="33" spans="8:18" x14ac:dyDescent="0.45">
      <c r="H33" s="177"/>
      <c r="I33" s="178"/>
      <c r="J33" s="179"/>
      <c r="L33" s="170"/>
      <c r="M33" s="171"/>
      <c r="N33" s="172"/>
      <c r="O33" s="94"/>
      <c r="P33" s="94"/>
      <c r="Q33" s="94"/>
      <c r="R33" s="94"/>
    </row>
    <row r="34" spans="8:18" ht="14.65" thickBot="1" x14ac:dyDescent="0.5">
      <c r="H34" s="92" t="s">
        <v>137</v>
      </c>
      <c r="I34" s="173">
        <f>AVERAGE(I21:I32)</f>
        <v>1.9758333333333333E-2</v>
      </c>
      <c r="J34" s="174"/>
      <c r="L34" s="95" t="s">
        <v>138</v>
      </c>
      <c r="M34" s="96">
        <f>(M2+M32)/2</f>
        <v>25396988.193555459</v>
      </c>
      <c r="N34" s="97">
        <f t="shared" ref="N34" si="3">(N2+N32)/2</f>
        <v>25047907.563054763</v>
      </c>
      <c r="O34" s="98"/>
      <c r="P34" s="99"/>
      <c r="Q34" s="99"/>
      <c r="R34" s="99"/>
    </row>
    <row r="35" spans="8:18" x14ac:dyDescent="0.45">
      <c r="H35" s="92" t="s">
        <v>139</v>
      </c>
      <c r="I35" s="173">
        <f>AVERAGE(I28:I32)</f>
        <v>2.5399999999999999E-2</v>
      </c>
      <c r="J35" s="174"/>
      <c r="M35" s="101"/>
      <c r="N35" s="101"/>
      <c r="P35" s="98"/>
      <c r="Q35" s="98"/>
      <c r="R35" s="98"/>
    </row>
    <row r="36" spans="8:18" ht="14.65" thickBot="1" x14ac:dyDescent="0.5">
      <c r="H36" s="100" t="s">
        <v>140</v>
      </c>
      <c r="I36" s="175">
        <f>AVERAGE(I31:I32)</f>
        <v>3.5500000000000004E-2</v>
      </c>
      <c r="J36" s="176"/>
    </row>
  </sheetData>
  <mergeCells count="50">
    <mergeCell ref="C1:D1"/>
    <mergeCell ref="E1:F1"/>
    <mergeCell ref="I1:J1"/>
    <mergeCell ref="C2:D2"/>
    <mergeCell ref="E2:F2"/>
    <mergeCell ref="I2:J2"/>
    <mergeCell ref="C3:D3"/>
    <mergeCell ref="E3:F3"/>
    <mergeCell ref="I3:J3"/>
    <mergeCell ref="C4:D4"/>
    <mergeCell ref="E4:F4"/>
    <mergeCell ref="I4:J4"/>
    <mergeCell ref="A12:E12"/>
    <mergeCell ref="I12:J12"/>
    <mergeCell ref="C5:D5"/>
    <mergeCell ref="E5:F5"/>
    <mergeCell ref="I5:J5"/>
    <mergeCell ref="I6:J6"/>
    <mergeCell ref="I7:J7"/>
    <mergeCell ref="I8:J8"/>
    <mergeCell ref="I9:J9"/>
    <mergeCell ref="A10:E10"/>
    <mergeCell ref="I10:J10"/>
    <mergeCell ref="A11:E11"/>
    <mergeCell ref="I11:J11"/>
    <mergeCell ref="A13:E13"/>
    <mergeCell ref="H13:J13"/>
    <mergeCell ref="I14:J14"/>
    <mergeCell ref="I15:J15"/>
    <mergeCell ref="A16:F22"/>
    <mergeCell ref="I16:J16"/>
    <mergeCell ref="I20:J20"/>
    <mergeCell ref="I21:J21"/>
    <mergeCell ref="I22:J22"/>
    <mergeCell ref="A25:F32"/>
    <mergeCell ref="I25:J25"/>
    <mergeCell ref="I26:J26"/>
    <mergeCell ref="I27:J27"/>
    <mergeCell ref="I28:J28"/>
    <mergeCell ref="I29:J29"/>
    <mergeCell ref="I30:J30"/>
    <mergeCell ref="I31:J31"/>
    <mergeCell ref="I32:J32"/>
    <mergeCell ref="L33:N33"/>
    <mergeCell ref="I34:J34"/>
    <mergeCell ref="I35:J35"/>
    <mergeCell ref="I36:J36"/>
    <mergeCell ref="I23:J23"/>
    <mergeCell ref="I24:J24"/>
    <mergeCell ref="H33:J33"/>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L1:O6"/>
  <sheetViews>
    <sheetView topLeftCell="L1" workbookViewId="0">
      <selection activeCell="L22" sqref="L22"/>
    </sheetView>
  </sheetViews>
  <sheetFormatPr defaultColWidth="9.7109375" defaultRowHeight="14.25" x14ac:dyDescent="0.45"/>
  <cols>
    <col min="1" max="14" width="9.7109375" style="36"/>
    <col min="15" max="15" width="21.42578125" style="36" customWidth="1"/>
    <col min="16" max="16384" width="9.7109375" style="36"/>
  </cols>
  <sheetData>
    <row r="1" spans="12:15" x14ac:dyDescent="0.45">
      <c r="L1" s="102" t="s">
        <v>0</v>
      </c>
    </row>
    <row r="2" spans="12:15" x14ac:dyDescent="0.45">
      <c r="M2" s="36" t="s">
        <v>1</v>
      </c>
      <c r="N2" s="36" t="s">
        <v>2</v>
      </c>
      <c r="O2" s="36" t="s">
        <v>3</v>
      </c>
    </row>
    <row r="3" spans="12:15" x14ac:dyDescent="0.45">
      <c r="L3" s="69">
        <v>2017</v>
      </c>
      <c r="M3" s="125">
        <v>2139</v>
      </c>
      <c r="N3" s="67">
        <v>241</v>
      </c>
      <c r="O3" s="36" t="s">
        <v>4</v>
      </c>
    </row>
    <row r="4" spans="12:15" x14ac:dyDescent="0.45">
      <c r="L4" s="69">
        <v>2018</v>
      </c>
      <c r="M4" s="125">
        <v>2319</v>
      </c>
      <c r="N4" s="67">
        <v>268</v>
      </c>
      <c r="O4" s="36" t="s">
        <v>4</v>
      </c>
    </row>
    <row r="5" spans="12:15" ht="14.65" thickBot="1" x14ac:dyDescent="0.5">
      <c r="L5" s="126">
        <v>2019</v>
      </c>
      <c r="M5" s="127">
        <v>2055</v>
      </c>
      <c r="N5" s="128">
        <v>231</v>
      </c>
      <c r="O5" s="36" t="s">
        <v>5</v>
      </c>
    </row>
    <row r="6" spans="12:15" x14ac:dyDescent="0.45">
      <c r="L6" s="129" t="s">
        <v>6</v>
      </c>
      <c r="M6" s="130">
        <f>AVERAGE(M3:M5)</f>
        <v>2171</v>
      </c>
      <c r="N6" s="130">
        <f>AVERAGE(N3:N5)</f>
        <v>246.66666666666666</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R44"/>
  <sheetViews>
    <sheetView workbookViewId="0">
      <selection activeCell="G26" sqref="G26"/>
    </sheetView>
  </sheetViews>
  <sheetFormatPr defaultColWidth="9.7109375" defaultRowHeight="14.25" x14ac:dyDescent="0.45"/>
  <cols>
    <col min="1" max="1" width="62.28515625" style="36" bestFit="1" customWidth="1"/>
    <col min="2" max="2" width="15.7109375" style="36" bestFit="1" customWidth="1"/>
    <col min="3" max="3" width="18" style="36" bestFit="1" customWidth="1"/>
    <col min="4" max="4" width="11.28515625" style="36" bestFit="1" customWidth="1"/>
    <col min="5" max="5" width="16.28515625" style="36" bestFit="1" customWidth="1"/>
    <col min="6" max="7" width="9.7109375" style="36"/>
    <col min="8" max="8" width="12.5703125" style="36" bestFit="1" customWidth="1"/>
    <col min="9" max="9" width="14.7109375" style="36" bestFit="1" customWidth="1"/>
    <col min="10" max="16384" width="9.7109375" style="36"/>
  </cols>
  <sheetData>
    <row r="1" spans="1:18" x14ac:dyDescent="0.45">
      <c r="H1" s="102" t="s">
        <v>7</v>
      </c>
    </row>
    <row r="2" spans="1:18" x14ac:dyDescent="0.45">
      <c r="A2" s="36" t="s">
        <v>8</v>
      </c>
      <c r="B2" s="36" t="s">
        <v>9</v>
      </c>
      <c r="C2" s="36" t="s">
        <v>10</v>
      </c>
    </row>
    <row r="3" spans="1:18" x14ac:dyDescent="0.45">
      <c r="A3" s="103" t="s">
        <v>11</v>
      </c>
      <c r="B3" s="4">
        <v>11191485</v>
      </c>
      <c r="H3" s="36" t="s">
        <v>12</v>
      </c>
    </row>
    <row r="4" spans="1:18" x14ac:dyDescent="0.45">
      <c r="A4" s="103" t="s">
        <v>13</v>
      </c>
      <c r="B4" s="5">
        <f>B3*0.2</f>
        <v>2238297</v>
      </c>
      <c r="H4" s="104">
        <v>150000</v>
      </c>
      <c r="I4" s="36" t="s">
        <v>14</v>
      </c>
      <c r="J4" s="36">
        <v>1</v>
      </c>
      <c r="K4" s="36" t="s">
        <v>15</v>
      </c>
      <c r="L4" s="36">
        <v>1</v>
      </c>
      <c r="M4" s="36" t="s">
        <v>16</v>
      </c>
      <c r="N4" s="36">
        <v>1</v>
      </c>
      <c r="O4" s="36" t="s">
        <v>17</v>
      </c>
      <c r="P4" s="36">
        <v>43.5</v>
      </c>
      <c r="Q4" s="36" t="s">
        <v>18</v>
      </c>
      <c r="R4" s="36" t="s">
        <v>19</v>
      </c>
    </row>
    <row r="5" spans="1:18" x14ac:dyDescent="0.45">
      <c r="A5" s="103" t="s">
        <v>20</v>
      </c>
      <c r="B5" s="5">
        <f>SUM(B3:B4)</f>
        <v>13429782</v>
      </c>
      <c r="H5" s="36">
        <v>1</v>
      </c>
      <c r="I5" s="36" t="s">
        <v>21</v>
      </c>
      <c r="J5" s="36">
        <v>970</v>
      </c>
      <c r="K5" s="36" t="s">
        <v>14</v>
      </c>
      <c r="L5" s="104">
        <v>11100</v>
      </c>
      <c r="M5" s="36" t="s">
        <v>15</v>
      </c>
      <c r="N5" s="36">
        <v>2000</v>
      </c>
      <c r="O5" s="36" t="s">
        <v>22</v>
      </c>
      <c r="P5" s="36">
        <v>1</v>
      </c>
      <c r="Q5" s="36" t="s">
        <v>17</v>
      </c>
    </row>
    <row r="6" spans="1:18" ht="28.5" x14ac:dyDescent="0.45">
      <c r="A6" s="103" t="s">
        <v>23</v>
      </c>
      <c r="B6" s="36">
        <f>(0.07*(1+0.07)^30)/(((1+0.07)^30)-1)</f>
        <v>8.0586403511111196E-2</v>
      </c>
      <c r="C6" s="105" t="s">
        <v>24</v>
      </c>
      <c r="H6" s="8">
        <f>(H4*J4*L4*N4*P4)/(H5*J5*L5*N5*P5)</f>
        <v>3.0300919476177206E-4</v>
      </c>
    </row>
    <row r="8" spans="1:18" x14ac:dyDescent="0.45">
      <c r="A8" s="106"/>
      <c r="B8" s="107"/>
      <c r="C8" s="107"/>
      <c r="H8" s="36" t="s">
        <v>25</v>
      </c>
    </row>
    <row r="9" spans="1:18" x14ac:dyDescent="0.45">
      <c r="A9" s="103" t="s">
        <v>26</v>
      </c>
      <c r="B9" s="56">
        <f>B5*B6</f>
        <v>1082257.8313182578</v>
      </c>
      <c r="H9" s="104">
        <v>150000</v>
      </c>
      <c r="I9" s="36" t="s">
        <v>14</v>
      </c>
      <c r="J9" s="36">
        <v>1</v>
      </c>
      <c r="K9" s="36" t="s">
        <v>15</v>
      </c>
      <c r="L9" s="36">
        <v>1</v>
      </c>
      <c r="M9" s="36" t="s">
        <v>27</v>
      </c>
      <c r="N9" s="36">
        <v>1.7</v>
      </c>
      <c r="O9" s="36" t="s">
        <v>18</v>
      </c>
      <c r="P9" s="36" t="s">
        <v>28</v>
      </c>
    </row>
    <row r="10" spans="1:18" x14ac:dyDescent="0.45">
      <c r="A10" s="36" t="s">
        <v>29</v>
      </c>
      <c r="H10" s="36">
        <v>1</v>
      </c>
      <c r="I10" s="36" t="s">
        <v>21</v>
      </c>
      <c r="J10" s="36">
        <v>970</v>
      </c>
      <c r="K10" s="36" t="s">
        <v>14</v>
      </c>
      <c r="L10" s="104">
        <v>1000000</v>
      </c>
      <c r="M10" s="36" t="s">
        <v>15</v>
      </c>
      <c r="N10" s="36">
        <v>1</v>
      </c>
      <c r="O10" s="36" t="s">
        <v>30</v>
      </c>
    </row>
    <row r="11" spans="1:18" x14ac:dyDescent="0.45">
      <c r="A11" s="103" t="s">
        <v>31</v>
      </c>
      <c r="B11" s="108">
        <f>I27</f>
        <v>-623677.20190778933</v>
      </c>
      <c r="C11" s="36" t="s">
        <v>32</v>
      </c>
      <c r="H11" s="13">
        <f>(H9*J9*L9*N9)/(H10*J10*L10*N10)</f>
        <v>2.6288659793814435E-4</v>
      </c>
    </row>
    <row r="12" spans="1:18" ht="14.45" customHeight="1" x14ac:dyDescent="0.45">
      <c r="A12" s="103" t="s">
        <v>33</v>
      </c>
      <c r="B12" s="109">
        <v>0</v>
      </c>
      <c r="C12" s="148"/>
    </row>
    <row r="13" spans="1:18" x14ac:dyDescent="0.45">
      <c r="A13" s="103" t="s">
        <v>34</v>
      </c>
      <c r="B13" s="109">
        <v>0</v>
      </c>
      <c r="C13" s="148"/>
    </row>
    <row r="14" spans="1:18" x14ac:dyDescent="0.45">
      <c r="A14" s="103" t="s">
        <v>35</v>
      </c>
      <c r="B14" s="109">
        <v>0</v>
      </c>
      <c r="C14" s="148"/>
    </row>
    <row r="15" spans="1:18" x14ac:dyDescent="0.45">
      <c r="A15" s="103" t="s">
        <v>36</v>
      </c>
      <c r="B15" s="109">
        <v>0</v>
      </c>
      <c r="C15" s="148"/>
      <c r="H15" s="15">
        <f>(H11-H6)/H6</f>
        <v>-0.13241379310344811</v>
      </c>
    </row>
    <row r="16" spans="1:18" x14ac:dyDescent="0.45">
      <c r="A16" s="103" t="s">
        <v>37</v>
      </c>
      <c r="B16" s="110">
        <f>'Offsite Waste Costs 2022'!N34</f>
        <v>25047907.563054763</v>
      </c>
    </row>
    <row r="17" spans="1:12" x14ac:dyDescent="0.45">
      <c r="A17" s="103" t="s">
        <v>38</v>
      </c>
      <c r="B17" s="110">
        <v>205086</v>
      </c>
      <c r="C17" s="111"/>
      <c r="H17" s="36" t="s">
        <v>39</v>
      </c>
    </row>
    <row r="18" spans="1:12" x14ac:dyDescent="0.45">
      <c r="A18" s="106" t="s">
        <v>40</v>
      </c>
      <c r="B18" s="112">
        <v>129632</v>
      </c>
      <c r="C18" s="113"/>
    </row>
    <row r="19" spans="1:12" x14ac:dyDescent="0.45">
      <c r="A19" s="103" t="s">
        <v>41</v>
      </c>
      <c r="B19" s="108">
        <f>SUM(B11:B18)</f>
        <v>24758948.361146972</v>
      </c>
      <c r="H19" s="36" t="s">
        <v>42</v>
      </c>
    </row>
    <row r="20" spans="1:12" x14ac:dyDescent="0.45">
      <c r="A20" s="145" t="s">
        <v>43</v>
      </c>
      <c r="I20" s="104"/>
    </row>
    <row r="21" spans="1:12" x14ac:dyDescent="0.45">
      <c r="A21" s="103" t="s">
        <v>44</v>
      </c>
      <c r="B21" s="114">
        <f>0.6*(B13+B14+B18)</f>
        <v>77779.199999999997</v>
      </c>
      <c r="H21" s="36" t="s">
        <v>45</v>
      </c>
      <c r="I21" s="36" t="s">
        <v>46</v>
      </c>
      <c r="J21" s="36" t="s">
        <v>47</v>
      </c>
      <c r="K21" s="36" t="s">
        <v>48</v>
      </c>
      <c r="L21" s="36" t="s">
        <v>49</v>
      </c>
    </row>
    <row r="22" spans="1:12" x14ac:dyDescent="0.45">
      <c r="A22" s="103" t="s">
        <v>50</v>
      </c>
      <c r="B22" s="56">
        <f>0.02*B5</f>
        <v>268595.64</v>
      </c>
    </row>
    <row r="23" spans="1:12" x14ac:dyDescent="0.45">
      <c r="A23" s="103" t="s">
        <v>51</v>
      </c>
      <c r="B23" s="56">
        <f>0.01*B5</f>
        <v>134297.82</v>
      </c>
      <c r="H23" s="36" t="s">
        <v>52</v>
      </c>
      <c r="I23" s="4">
        <v>4086385</v>
      </c>
    </row>
    <row r="24" spans="1:12" x14ac:dyDescent="0.45">
      <c r="A24" s="106" t="s">
        <v>53</v>
      </c>
      <c r="B24" s="115">
        <f>0.01*B5</f>
        <v>134297.82</v>
      </c>
    </row>
    <row r="25" spans="1:12" x14ac:dyDescent="0.45">
      <c r="A25" s="103" t="s">
        <v>54</v>
      </c>
      <c r="B25" s="110">
        <f>SUM(B21:B24)</f>
        <v>614970.48</v>
      </c>
      <c r="H25" s="36" t="s">
        <v>55</v>
      </c>
      <c r="I25" s="4">
        <f>I23/(1+H15)</f>
        <v>4710062.2019077893</v>
      </c>
    </row>
    <row r="26" spans="1:12" x14ac:dyDescent="0.45">
      <c r="A26" s="103" t="s">
        <v>56</v>
      </c>
      <c r="B26" s="56">
        <f>SUM(B9,B19,B25)</f>
        <v>26456176.672465231</v>
      </c>
    </row>
    <row r="27" spans="1:12" x14ac:dyDescent="0.45">
      <c r="I27" s="108">
        <f>I23-I25</f>
        <v>-623677.20190778933</v>
      </c>
    </row>
    <row r="28" spans="1:12" x14ac:dyDescent="0.45">
      <c r="B28" s="143" t="s">
        <v>1</v>
      </c>
      <c r="C28" s="143" t="s">
        <v>57</v>
      </c>
      <c r="D28" s="143" t="s">
        <v>58</v>
      </c>
    </row>
    <row r="29" spans="1:12" x14ac:dyDescent="0.45">
      <c r="A29" s="103" t="s">
        <v>59</v>
      </c>
      <c r="B29" s="116">
        <v>2171</v>
      </c>
      <c r="C29" s="116">
        <v>246.66666666666666</v>
      </c>
      <c r="D29" s="67"/>
      <c r="I29" s="36" t="s">
        <v>60</v>
      </c>
    </row>
    <row r="30" spans="1:12" x14ac:dyDescent="0.45">
      <c r="A30" s="103" t="s">
        <v>61</v>
      </c>
      <c r="B30" s="117">
        <v>0.99</v>
      </c>
      <c r="C30" s="117">
        <v>0.9</v>
      </c>
      <c r="D30" s="67"/>
    </row>
    <row r="31" spans="1:12" x14ac:dyDescent="0.45">
      <c r="A31" s="103" t="s">
        <v>62</v>
      </c>
      <c r="B31" s="67">
        <f>B29*B30</f>
        <v>2149.29</v>
      </c>
      <c r="C31" s="67">
        <f>C29*C30</f>
        <v>222</v>
      </c>
      <c r="D31" s="67">
        <f>SUM(B31:C31)</f>
        <v>2371.29</v>
      </c>
    </row>
    <row r="32" spans="1:12" x14ac:dyDescent="0.45">
      <c r="A32" s="103" t="s">
        <v>63</v>
      </c>
      <c r="B32" s="68">
        <f>B26/B31</f>
        <v>12309.263371841507</v>
      </c>
      <c r="C32" s="68">
        <f>B26/C31</f>
        <v>119171.96699308662</v>
      </c>
      <c r="D32" s="68">
        <f>B26/D31</f>
        <v>11156.871016394129</v>
      </c>
    </row>
    <row r="34" spans="1:9" x14ac:dyDescent="0.45">
      <c r="A34" s="118"/>
      <c r="B34" s="69"/>
      <c r="C34" s="69"/>
      <c r="D34" s="69"/>
      <c r="E34" s="69"/>
      <c r="F34" s="69"/>
      <c r="G34" s="69"/>
      <c r="H34" s="69"/>
      <c r="I34" s="69"/>
    </row>
    <row r="35" spans="1:9" x14ac:dyDescent="0.45">
      <c r="A35" s="118"/>
      <c r="B35" s="69"/>
      <c r="C35" s="69"/>
      <c r="D35" s="69"/>
      <c r="E35" s="69"/>
      <c r="F35" s="69"/>
      <c r="G35" s="69"/>
      <c r="H35" s="69"/>
      <c r="I35" s="69"/>
    </row>
    <row r="36" spans="1:9" x14ac:dyDescent="0.45">
      <c r="A36" s="119"/>
      <c r="B36" s="69"/>
      <c r="C36" s="69"/>
      <c r="D36" s="69"/>
      <c r="E36" s="69"/>
      <c r="F36" s="69"/>
      <c r="G36" s="69"/>
      <c r="H36" s="69"/>
      <c r="I36" s="69"/>
    </row>
    <row r="37" spans="1:9" x14ac:dyDescent="0.45">
      <c r="A37" s="69"/>
      <c r="B37" s="69"/>
      <c r="C37" s="69"/>
      <c r="D37" s="69"/>
      <c r="E37" s="69"/>
      <c r="F37" s="69"/>
      <c r="G37" s="69"/>
      <c r="H37" s="69"/>
      <c r="I37" s="69"/>
    </row>
    <row r="38" spans="1:9" x14ac:dyDescent="0.45">
      <c r="A38" s="119"/>
      <c r="B38" s="77"/>
      <c r="C38" s="69"/>
      <c r="D38" s="69"/>
      <c r="E38" s="69"/>
      <c r="F38" s="69"/>
      <c r="G38" s="69"/>
      <c r="H38" s="69"/>
      <c r="I38" s="69"/>
    </row>
    <row r="39" spans="1:9" x14ac:dyDescent="0.45">
      <c r="A39" s="119"/>
      <c r="B39" s="77"/>
      <c r="C39" s="69"/>
      <c r="D39" s="69"/>
      <c r="E39" s="69"/>
      <c r="F39" s="69"/>
      <c r="G39" s="69"/>
      <c r="H39" s="69"/>
      <c r="I39" s="69"/>
    </row>
    <row r="40" spans="1:9" x14ac:dyDescent="0.45">
      <c r="A40" s="69"/>
      <c r="B40" s="120"/>
      <c r="C40" s="120"/>
      <c r="D40" s="120"/>
      <c r="E40" s="69"/>
      <c r="F40" s="69"/>
      <c r="G40" s="69"/>
      <c r="H40" s="69"/>
      <c r="I40" s="69"/>
    </row>
    <row r="41" spans="1:9" x14ac:dyDescent="0.45">
      <c r="A41" s="119"/>
      <c r="B41" s="77"/>
      <c r="C41" s="77"/>
      <c r="D41" s="77"/>
      <c r="E41" s="69"/>
      <c r="F41" s="69"/>
      <c r="G41" s="69"/>
      <c r="H41" s="69"/>
      <c r="I41" s="69"/>
    </row>
    <row r="42" spans="1:9" x14ac:dyDescent="0.45">
      <c r="A42" s="69"/>
      <c r="B42" s="69"/>
      <c r="C42" s="69"/>
      <c r="D42" s="69"/>
      <c r="E42" s="69"/>
      <c r="F42" s="69"/>
      <c r="G42" s="69"/>
      <c r="H42" s="69"/>
      <c r="I42" s="69"/>
    </row>
    <row r="43" spans="1:9" x14ac:dyDescent="0.45">
      <c r="A43" s="69"/>
      <c r="B43" s="69"/>
      <c r="C43" s="69"/>
      <c r="D43" s="69"/>
      <c r="E43" s="69"/>
      <c r="F43" s="69"/>
      <c r="G43" s="69"/>
      <c r="H43" s="69"/>
      <c r="I43" s="69"/>
    </row>
    <row r="44" spans="1:9" x14ac:dyDescent="0.45">
      <c r="A44" s="69"/>
      <c r="B44" s="69"/>
      <c r="C44" s="69"/>
      <c r="D44" s="69"/>
      <c r="E44" s="69"/>
      <c r="F44" s="69"/>
      <c r="G44" s="69"/>
      <c r="H44" s="69"/>
      <c r="I44" s="69"/>
    </row>
  </sheetData>
  <mergeCells count="1">
    <mergeCell ref="C12:C15"/>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R43"/>
  <sheetViews>
    <sheetView workbookViewId="0">
      <selection activeCell="A19" sqref="A19"/>
    </sheetView>
  </sheetViews>
  <sheetFormatPr defaultColWidth="9.7109375" defaultRowHeight="14.25" x14ac:dyDescent="0.45"/>
  <cols>
    <col min="1" max="1" width="62.28515625" style="36" bestFit="1" customWidth="1"/>
    <col min="2" max="2" width="15.7109375" style="36" bestFit="1" customWidth="1"/>
    <col min="3" max="3" width="18" style="36" bestFit="1" customWidth="1"/>
    <col min="4" max="4" width="11.28515625" style="36" bestFit="1" customWidth="1"/>
    <col min="5" max="5" width="16.28515625" style="36" bestFit="1" customWidth="1"/>
    <col min="6" max="7" width="9.7109375" style="36"/>
    <col min="8" max="8" width="12.5703125" style="36" bestFit="1" customWidth="1"/>
    <col min="9" max="9" width="14.7109375" style="36" bestFit="1" customWidth="1"/>
    <col min="10" max="16384" width="9.7109375" style="36"/>
  </cols>
  <sheetData>
    <row r="1" spans="1:18" x14ac:dyDescent="0.45">
      <c r="H1" s="102" t="s">
        <v>7</v>
      </c>
    </row>
    <row r="2" spans="1:18" x14ac:dyDescent="0.45">
      <c r="A2" s="36" t="s">
        <v>8</v>
      </c>
      <c r="B2" s="36" t="s">
        <v>9</v>
      </c>
      <c r="C2" s="36" t="s">
        <v>10</v>
      </c>
    </row>
    <row r="3" spans="1:18" ht="14.45" customHeight="1" x14ac:dyDescent="0.45">
      <c r="A3" s="103" t="s">
        <v>11</v>
      </c>
      <c r="B3" s="4">
        <v>10646285</v>
      </c>
      <c r="H3" s="36" t="s">
        <v>12</v>
      </c>
    </row>
    <row r="4" spans="1:18" x14ac:dyDescent="0.45">
      <c r="A4" s="103" t="s">
        <v>13</v>
      </c>
      <c r="B4" s="5">
        <f>B3*0.2</f>
        <v>2129257</v>
      </c>
      <c r="H4" s="104">
        <v>150000</v>
      </c>
      <c r="I4" s="36" t="s">
        <v>14</v>
      </c>
      <c r="J4" s="36">
        <v>1</v>
      </c>
      <c r="K4" s="36" t="s">
        <v>15</v>
      </c>
      <c r="L4" s="36">
        <v>1</v>
      </c>
      <c r="M4" s="36" t="s">
        <v>16</v>
      </c>
      <c r="N4" s="36">
        <v>1</v>
      </c>
      <c r="O4" s="36" t="s">
        <v>17</v>
      </c>
      <c r="P4" s="36">
        <v>43.5</v>
      </c>
      <c r="Q4" s="36" t="s">
        <v>18</v>
      </c>
      <c r="R4" s="36" t="s">
        <v>19</v>
      </c>
    </row>
    <row r="5" spans="1:18" x14ac:dyDescent="0.45">
      <c r="A5" s="103" t="s">
        <v>20</v>
      </c>
      <c r="B5" s="5">
        <f>SUM(B3:B4)</f>
        <v>12775542</v>
      </c>
      <c r="H5" s="36">
        <v>1</v>
      </c>
      <c r="I5" s="36" t="s">
        <v>21</v>
      </c>
      <c r="J5" s="36">
        <v>970</v>
      </c>
      <c r="K5" s="36" t="s">
        <v>14</v>
      </c>
      <c r="L5" s="104">
        <v>11100</v>
      </c>
      <c r="M5" s="36" t="s">
        <v>15</v>
      </c>
      <c r="N5" s="36">
        <v>2000</v>
      </c>
      <c r="O5" s="36" t="s">
        <v>22</v>
      </c>
      <c r="P5" s="36">
        <v>1</v>
      </c>
      <c r="Q5" s="36" t="s">
        <v>17</v>
      </c>
    </row>
    <row r="6" spans="1:18" ht="28.5" x14ac:dyDescent="0.45">
      <c r="A6" s="103" t="s">
        <v>23</v>
      </c>
      <c r="B6" s="36">
        <f>(0.07*(1+0.07)^30)/(((1+0.07)^30)-1)</f>
        <v>8.0586403511111196E-2</v>
      </c>
      <c r="C6" s="105" t="s">
        <v>64</v>
      </c>
      <c r="H6" s="8">
        <f>(H4*J4*L4*N4*P4)/(H5*J5*L5*N5*P5)</f>
        <v>3.0300919476177206E-4</v>
      </c>
    </row>
    <row r="8" spans="1:18" x14ac:dyDescent="0.45">
      <c r="A8" s="106"/>
      <c r="B8" s="107"/>
      <c r="C8" s="107"/>
      <c r="H8" s="36" t="s">
        <v>25</v>
      </c>
    </row>
    <row r="9" spans="1:18" x14ac:dyDescent="0.45">
      <c r="A9" s="103" t="s">
        <v>26</v>
      </c>
      <c r="B9" s="56">
        <f>B5*B6</f>
        <v>1029534.9826851486</v>
      </c>
      <c r="H9" s="104">
        <v>150000</v>
      </c>
      <c r="I9" s="36" t="s">
        <v>14</v>
      </c>
      <c r="J9" s="36">
        <v>1</v>
      </c>
      <c r="K9" s="36" t="s">
        <v>15</v>
      </c>
      <c r="L9" s="36">
        <v>1</v>
      </c>
      <c r="M9" s="36" t="s">
        <v>27</v>
      </c>
      <c r="N9" s="36">
        <v>1.7</v>
      </c>
      <c r="O9" s="36" t="s">
        <v>18</v>
      </c>
      <c r="P9" s="36" t="s">
        <v>28</v>
      </c>
    </row>
    <row r="10" spans="1:18" x14ac:dyDescent="0.45">
      <c r="A10" s="36" t="s">
        <v>29</v>
      </c>
      <c r="H10" s="36">
        <v>1</v>
      </c>
      <c r="I10" s="36" t="s">
        <v>21</v>
      </c>
      <c r="J10" s="36">
        <v>970</v>
      </c>
      <c r="K10" s="36" t="s">
        <v>14</v>
      </c>
      <c r="L10" s="104">
        <v>1000000</v>
      </c>
      <c r="M10" s="36" t="s">
        <v>15</v>
      </c>
      <c r="N10" s="36">
        <v>1</v>
      </c>
      <c r="O10" s="36" t="s">
        <v>30</v>
      </c>
    </row>
    <row r="11" spans="1:18" x14ac:dyDescent="0.45">
      <c r="A11" s="103" t="s">
        <v>31</v>
      </c>
      <c r="B11" s="108">
        <f>I27</f>
        <v>-623677.20190778933</v>
      </c>
      <c r="C11" s="36" t="s">
        <v>32</v>
      </c>
      <c r="H11" s="13">
        <f>(H9*J9*L9*N9)/(H10*J10*L10*N10)</f>
        <v>2.6288659793814435E-4</v>
      </c>
    </row>
    <row r="12" spans="1:18" ht="14.45" customHeight="1" x14ac:dyDescent="0.45">
      <c r="A12" s="103" t="s">
        <v>33</v>
      </c>
      <c r="B12" s="109">
        <v>0</v>
      </c>
      <c r="C12" s="148"/>
    </row>
    <row r="13" spans="1:18" x14ac:dyDescent="0.45">
      <c r="A13" s="103" t="s">
        <v>34</v>
      </c>
      <c r="B13" s="109">
        <v>0</v>
      </c>
      <c r="C13" s="148"/>
    </row>
    <row r="14" spans="1:18" x14ac:dyDescent="0.45">
      <c r="A14" s="103" t="s">
        <v>35</v>
      </c>
      <c r="B14" s="109">
        <v>0</v>
      </c>
      <c r="C14" s="148"/>
    </row>
    <row r="15" spans="1:18" x14ac:dyDescent="0.45">
      <c r="A15" s="103" t="s">
        <v>36</v>
      </c>
      <c r="B15" s="109">
        <v>0</v>
      </c>
      <c r="C15" s="148"/>
      <c r="H15" s="15">
        <f>(H11-H6)/H6</f>
        <v>-0.13241379310344811</v>
      </c>
    </row>
    <row r="16" spans="1:18" x14ac:dyDescent="0.45">
      <c r="A16" s="103" t="s">
        <v>37</v>
      </c>
      <c r="B16" s="110">
        <f>'Offsite Waste Costs 2022'!N34</f>
        <v>25047907.563054763</v>
      </c>
    </row>
    <row r="17" spans="1:12" x14ac:dyDescent="0.45">
      <c r="A17" s="103" t="s">
        <v>38</v>
      </c>
      <c r="B17" s="110">
        <v>205086</v>
      </c>
      <c r="C17" s="111"/>
      <c r="H17" s="36" t="s">
        <v>39</v>
      </c>
    </row>
    <row r="18" spans="1:12" x14ac:dyDescent="0.45">
      <c r="A18" s="106" t="s">
        <v>40</v>
      </c>
      <c r="B18" s="112">
        <v>129632</v>
      </c>
      <c r="C18" s="113"/>
    </row>
    <row r="19" spans="1:12" x14ac:dyDescent="0.45">
      <c r="A19" s="103" t="s">
        <v>41</v>
      </c>
      <c r="B19" s="108">
        <f>SUM(B11:B18)</f>
        <v>24758948.361146972</v>
      </c>
      <c r="H19" s="36" t="s">
        <v>42</v>
      </c>
    </row>
    <row r="20" spans="1:12" x14ac:dyDescent="0.45">
      <c r="A20" s="145" t="s">
        <v>43</v>
      </c>
      <c r="I20" s="104"/>
    </row>
    <row r="21" spans="1:12" x14ac:dyDescent="0.45">
      <c r="A21" s="103" t="s">
        <v>44</v>
      </c>
      <c r="B21" s="121">
        <f>0.6*(B13+B14+B18)</f>
        <v>77779.199999999997</v>
      </c>
      <c r="H21" s="36" t="s">
        <v>45</v>
      </c>
      <c r="I21" s="36" t="s">
        <v>46</v>
      </c>
      <c r="J21" s="36" t="s">
        <v>47</v>
      </c>
      <c r="K21" s="36" t="s">
        <v>48</v>
      </c>
      <c r="L21" s="36" t="s">
        <v>49</v>
      </c>
    </row>
    <row r="22" spans="1:12" x14ac:dyDescent="0.45">
      <c r="A22" s="103" t="s">
        <v>50</v>
      </c>
      <c r="B22" s="122">
        <f>0.02*B5</f>
        <v>255510.84</v>
      </c>
    </row>
    <row r="23" spans="1:12" x14ac:dyDescent="0.45">
      <c r="A23" s="103" t="s">
        <v>51</v>
      </c>
      <c r="B23" s="122">
        <f>0.01*B5</f>
        <v>127755.42</v>
      </c>
      <c r="H23" s="36" t="s">
        <v>52</v>
      </c>
      <c r="I23" s="4">
        <v>4086385</v>
      </c>
    </row>
    <row r="24" spans="1:12" x14ac:dyDescent="0.45">
      <c r="A24" s="106" t="s">
        <v>53</v>
      </c>
      <c r="B24" s="123">
        <f>0.01*B5</f>
        <v>127755.42</v>
      </c>
    </row>
    <row r="25" spans="1:12" x14ac:dyDescent="0.45">
      <c r="A25" s="103" t="s">
        <v>54</v>
      </c>
      <c r="B25" s="110">
        <f>SUM(B21:B24)</f>
        <v>588800.88</v>
      </c>
      <c r="H25" s="36" t="s">
        <v>55</v>
      </c>
      <c r="I25" s="4">
        <f>I23/(1+H15)</f>
        <v>4710062.2019077893</v>
      </c>
    </row>
    <row r="26" spans="1:12" x14ac:dyDescent="0.45">
      <c r="A26" s="103" t="s">
        <v>56</v>
      </c>
      <c r="B26" s="56">
        <f>SUM(B9,B19,B25)</f>
        <v>26377284.223832119</v>
      </c>
    </row>
    <row r="27" spans="1:12" x14ac:dyDescent="0.45">
      <c r="I27" s="108">
        <f>I23-I25</f>
        <v>-623677.20190778933</v>
      </c>
    </row>
    <row r="28" spans="1:12" x14ac:dyDescent="0.45">
      <c r="B28" s="124" t="s">
        <v>1</v>
      </c>
      <c r="C28" s="124" t="s">
        <v>57</v>
      </c>
      <c r="D28" s="124" t="s">
        <v>58</v>
      </c>
    </row>
    <row r="29" spans="1:12" x14ac:dyDescent="0.45">
      <c r="A29" s="103" t="s">
        <v>59</v>
      </c>
      <c r="B29" s="116">
        <v>2171</v>
      </c>
      <c r="C29" s="116">
        <v>246.66666666666666</v>
      </c>
      <c r="D29" s="67"/>
      <c r="I29" s="36" t="s">
        <v>60</v>
      </c>
    </row>
    <row r="30" spans="1:12" x14ac:dyDescent="0.45">
      <c r="A30" s="103" t="s">
        <v>61</v>
      </c>
      <c r="B30" s="117">
        <v>0.99</v>
      </c>
      <c r="C30" s="117">
        <v>0.9</v>
      </c>
      <c r="D30" s="67"/>
    </row>
    <row r="31" spans="1:12" x14ac:dyDescent="0.45">
      <c r="A31" s="103" t="s">
        <v>62</v>
      </c>
      <c r="B31" s="67">
        <f>B29*B30</f>
        <v>2149.29</v>
      </c>
      <c r="C31" s="67">
        <f>C29*C30</f>
        <v>222</v>
      </c>
      <c r="D31" s="67">
        <f>SUM(B31:C31)</f>
        <v>2371.29</v>
      </c>
    </row>
    <row r="32" spans="1:12" x14ac:dyDescent="0.45">
      <c r="A32" s="103" t="s">
        <v>63</v>
      </c>
      <c r="B32" s="68">
        <f>B26/B31</f>
        <v>12272.557088076583</v>
      </c>
      <c r="C32" s="68">
        <f>B26/C31</f>
        <v>118816.59560284739</v>
      </c>
      <c r="D32" s="68">
        <f>B26/D31</f>
        <v>11123.601172286864</v>
      </c>
    </row>
    <row r="36" spans="1:5" x14ac:dyDescent="0.45">
      <c r="A36" s="118"/>
      <c r="B36" s="69"/>
      <c r="C36" s="69"/>
      <c r="D36" s="69"/>
      <c r="E36" s="69"/>
    </row>
    <row r="37" spans="1:5" x14ac:dyDescent="0.45">
      <c r="A37" s="118"/>
      <c r="B37" s="69"/>
      <c r="C37" s="69"/>
      <c r="D37" s="69"/>
      <c r="E37" s="69"/>
    </row>
    <row r="38" spans="1:5" x14ac:dyDescent="0.45">
      <c r="A38" s="119"/>
      <c r="B38" s="69"/>
      <c r="C38" s="69"/>
      <c r="D38" s="69"/>
      <c r="E38" s="69"/>
    </row>
    <row r="39" spans="1:5" x14ac:dyDescent="0.45">
      <c r="A39" s="69"/>
      <c r="B39" s="69"/>
      <c r="C39" s="69"/>
      <c r="D39" s="69"/>
      <c r="E39" s="69"/>
    </row>
    <row r="40" spans="1:5" x14ac:dyDescent="0.45">
      <c r="A40" s="119"/>
      <c r="B40" s="77"/>
      <c r="C40" s="69"/>
      <c r="D40" s="69"/>
      <c r="E40" s="69"/>
    </row>
    <row r="41" spans="1:5" x14ac:dyDescent="0.45">
      <c r="A41" s="119"/>
      <c r="B41" s="77"/>
      <c r="C41" s="69"/>
      <c r="D41" s="69"/>
      <c r="E41" s="69"/>
    </row>
    <row r="42" spans="1:5" x14ac:dyDescent="0.45">
      <c r="A42" s="69"/>
      <c r="B42" s="120"/>
      <c r="C42" s="120"/>
      <c r="D42" s="120"/>
      <c r="E42" s="69"/>
    </row>
    <row r="43" spans="1:5" x14ac:dyDescent="0.45">
      <c r="A43" s="119"/>
      <c r="B43" s="77"/>
      <c r="C43" s="77"/>
      <c r="D43" s="77"/>
      <c r="E43" s="69"/>
    </row>
  </sheetData>
  <mergeCells count="1">
    <mergeCell ref="C12:C15"/>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R47"/>
  <sheetViews>
    <sheetView topLeftCell="A12" workbookViewId="0">
      <selection activeCell="F38" sqref="F38"/>
    </sheetView>
  </sheetViews>
  <sheetFormatPr defaultColWidth="9.7109375" defaultRowHeight="14.25" x14ac:dyDescent="0.45"/>
  <cols>
    <col min="1" max="1" width="62.28515625" style="36" bestFit="1" customWidth="1"/>
    <col min="2" max="2" width="15.7109375" style="36" bestFit="1" customWidth="1"/>
    <col min="3" max="3" width="18" style="36" bestFit="1" customWidth="1"/>
    <col min="4" max="4" width="11.28515625" style="36" bestFit="1" customWidth="1"/>
    <col min="5" max="5" width="16.28515625" style="36" bestFit="1" customWidth="1"/>
    <col min="6" max="7" width="9.7109375" style="36"/>
    <col min="8" max="8" width="12.5703125" style="36" bestFit="1" customWidth="1"/>
    <col min="9" max="9" width="14.7109375" style="36" bestFit="1" customWidth="1"/>
    <col min="10" max="16384" width="9.7109375" style="36"/>
  </cols>
  <sheetData>
    <row r="1" spans="1:18" x14ac:dyDescent="0.45">
      <c r="H1" s="102" t="s">
        <v>7</v>
      </c>
    </row>
    <row r="2" spans="1:18" x14ac:dyDescent="0.45">
      <c r="A2" s="36" t="s">
        <v>8</v>
      </c>
      <c r="B2" s="36" t="s">
        <v>9</v>
      </c>
      <c r="C2" s="36" t="s">
        <v>10</v>
      </c>
    </row>
    <row r="3" spans="1:18" x14ac:dyDescent="0.45">
      <c r="A3" s="103" t="s">
        <v>11</v>
      </c>
      <c r="B3" s="4">
        <v>7033162</v>
      </c>
      <c r="H3" s="36" t="s">
        <v>12</v>
      </c>
    </row>
    <row r="4" spans="1:18" x14ac:dyDescent="0.45">
      <c r="A4" s="103" t="s">
        <v>13</v>
      </c>
      <c r="B4" s="5">
        <f>B3*0.2</f>
        <v>1406632.4000000001</v>
      </c>
      <c r="H4" s="104">
        <v>150000</v>
      </c>
      <c r="I4" s="36" t="s">
        <v>14</v>
      </c>
      <c r="J4" s="36">
        <v>1</v>
      </c>
      <c r="K4" s="36" t="s">
        <v>15</v>
      </c>
      <c r="L4" s="36">
        <v>1</v>
      </c>
      <c r="M4" s="36" t="s">
        <v>16</v>
      </c>
      <c r="N4" s="36">
        <v>1</v>
      </c>
      <c r="O4" s="36" t="s">
        <v>17</v>
      </c>
      <c r="P4" s="36">
        <v>43.5</v>
      </c>
      <c r="Q4" s="36" t="s">
        <v>18</v>
      </c>
      <c r="R4" s="36" t="s">
        <v>19</v>
      </c>
    </row>
    <row r="5" spans="1:18" x14ac:dyDescent="0.45">
      <c r="A5" s="103" t="s">
        <v>20</v>
      </c>
      <c r="B5" s="5">
        <f>SUM(B3:B4)</f>
        <v>8439794.4000000004</v>
      </c>
      <c r="H5" s="36">
        <v>1</v>
      </c>
      <c r="I5" s="36" t="s">
        <v>21</v>
      </c>
      <c r="J5" s="36">
        <v>970</v>
      </c>
      <c r="K5" s="36" t="s">
        <v>14</v>
      </c>
      <c r="L5" s="104">
        <v>11100</v>
      </c>
      <c r="M5" s="36" t="s">
        <v>15</v>
      </c>
      <c r="N5" s="36">
        <v>2000</v>
      </c>
      <c r="O5" s="36" t="s">
        <v>22</v>
      </c>
      <c r="P5" s="36">
        <v>1</v>
      </c>
      <c r="Q5" s="36" t="s">
        <v>17</v>
      </c>
    </row>
    <row r="6" spans="1:18" ht="28.5" x14ac:dyDescent="0.45">
      <c r="A6" s="103" t="s">
        <v>23</v>
      </c>
      <c r="B6" s="36">
        <f>(0.07*(1+0.07)^30)/(((1+0.07)^30)-1)</f>
        <v>8.0586403511111196E-2</v>
      </c>
      <c r="C6" s="105" t="s">
        <v>64</v>
      </c>
      <c r="H6" s="8">
        <f>(H4*J4*L4*N4*P4)/(H5*J5*L5*N5*P5)</f>
        <v>3.0300919476177206E-4</v>
      </c>
    </row>
    <row r="8" spans="1:18" x14ac:dyDescent="0.45">
      <c r="A8" s="106"/>
      <c r="B8" s="107"/>
      <c r="C8" s="107"/>
      <c r="H8" s="36" t="s">
        <v>25</v>
      </c>
    </row>
    <row r="9" spans="1:18" x14ac:dyDescent="0.45">
      <c r="A9" s="103" t="s">
        <v>26</v>
      </c>
      <c r="B9" s="56">
        <f>B5*B6</f>
        <v>680132.67706921662</v>
      </c>
      <c r="H9" s="104">
        <v>150000</v>
      </c>
      <c r="I9" s="36" t="s">
        <v>14</v>
      </c>
      <c r="J9" s="36">
        <v>1</v>
      </c>
      <c r="K9" s="36" t="s">
        <v>15</v>
      </c>
      <c r="L9" s="36">
        <v>1</v>
      </c>
      <c r="M9" s="36" t="s">
        <v>27</v>
      </c>
      <c r="N9" s="36">
        <v>1.7</v>
      </c>
      <c r="O9" s="36" t="s">
        <v>18</v>
      </c>
      <c r="P9" s="36" t="s">
        <v>28</v>
      </c>
    </row>
    <row r="10" spans="1:18" x14ac:dyDescent="0.45">
      <c r="A10" s="36" t="s">
        <v>29</v>
      </c>
      <c r="H10" s="36">
        <v>1</v>
      </c>
      <c r="I10" s="36" t="s">
        <v>21</v>
      </c>
      <c r="J10" s="36">
        <v>970</v>
      </c>
      <c r="K10" s="36" t="s">
        <v>14</v>
      </c>
      <c r="L10" s="104">
        <v>1000000</v>
      </c>
      <c r="M10" s="36" t="s">
        <v>15</v>
      </c>
      <c r="N10" s="36">
        <v>1</v>
      </c>
      <c r="O10" s="36" t="s">
        <v>30</v>
      </c>
    </row>
    <row r="11" spans="1:18" x14ac:dyDescent="0.45">
      <c r="A11" s="103" t="s">
        <v>31</v>
      </c>
      <c r="B11" s="108">
        <f>I27</f>
        <v>-292507.26868044492</v>
      </c>
      <c r="C11" s="36" t="s">
        <v>32</v>
      </c>
      <c r="H11" s="13">
        <f>(H9*J9*L9*N9)/(H10*J10*L10*N10)</f>
        <v>2.6288659793814435E-4</v>
      </c>
    </row>
    <row r="12" spans="1:18" ht="14.45" customHeight="1" x14ac:dyDescent="0.45">
      <c r="A12" s="103" t="s">
        <v>33</v>
      </c>
      <c r="B12" s="109">
        <v>0</v>
      </c>
      <c r="C12" s="148"/>
    </row>
    <row r="13" spans="1:18" x14ac:dyDescent="0.45">
      <c r="A13" s="103" t="s">
        <v>34</v>
      </c>
      <c r="B13" s="109">
        <v>0</v>
      </c>
      <c r="C13" s="148"/>
    </row>
    <row r="14" spans="1:18" x14ac:dyDescent="0.45">
      <c r="A14" s="103" t="s">
        <v>35</v>
      </c>
      <c r="B14" s="109">
        <v>0</v>
      </c>
      <c r="C14" s="148"/>
    </row>
    <row r="15" spans="1:18" x14ac:dyDescent="0.45">
      <c r="A15" s="103" t="s">
        <v>36</v>
      </c>
      <c r="B15" s="109">
        <v>0</v>
      </c>
      <c r="C15" s="148"/>
      <c r="H15" s="15">
        <f>(H11-H6)/H6</f>
        <v>-0.13241379310344811</v>
      </c>
    </row>
    <row r="16" spans="1:18" x14ac:dyDescent="0.45">
      <c r="A16" s="103" t="s">
        <v>37</v>
      </c>
      <c r="B16" s="141">
        <v>8465663</v>
      </c>
    </row>
    <row r="17" spans="1:12" x14ac:dyDescent="0.45">
      <c r="A17" s="103" t="s">
        <v>38</v>
      </c>
      <c r="B17" s="141">
        <v>68363</v>
      </c>
      <c r="C17" s="111"/>
      <c r="H17" s="36" t="s">
        <v>39</v>
      </c>
    </row>
    <row r="18" spans="1:12" x14ac:dyDescent="0.45">
      <c r="A18" s="106" t="s">
        <v>40</v>
      </c>
      <c r="B18" s="142">
        <v>25926</v>
      </c>
      <c r="C18" s="113"/>
    </row>
    <row r="19" spans="1:12" x14ac:dyDescent="0.45">
      <c r="A19" s="103" t="s">
        <v>41</v>
      </c>
      <c r="B19" s="108">
        <f>SUM(B11:B18)</f>
        <v>8267444.7313195551</v>
      </c>
      <c r="H19" s="36" t="s">
        <v>42</v>
      </c>
    </row>
    <row r="20" spans="1:12" x14ac:dyDescent="0.45">
      <c r="A20" s="145" t="s">
        <v>43</v>
      </c>
      <c r="I20" s="104"/>
    </row>
    <row r="21" spans="1:12" x14ac:dyDescent="0.45">
      <c r="A21" s="103" t="s">
        <v>44</v>
      </c>
      <c r="B21" s="131">
        <f>0.6*(B13+B14+B18)</f>
        <v>15555.599999999999</v>
      </c>
      <c r="H21" s="36" t="s">
        <v>45</v>
      </c>
      <c r="I21" s="36" t="s">
        <v>46</v>
      </c>
      <c r="J21" s="36" t="s">
        <v>47</v>
      </c>
      <c r="K21" s="36" t="s">
        <v>48</v>
      </c>
      <c r="L21" s="36" t="s">
        <v>49</v>
      </c>
    </row>
    <row r="22" spans="1:12" x14ac:dyDescent="0.45">
      <c r="A22" s="103" t="s">
        <v>50</v>
      </c>
      <c r="B22" s="122">
        <f>0.02*B5</f>
        <v>168795.88800000001</v>
      </c>
    </row>
    <row r="23" spans="1:12" x14ac:dyDescent="0.45">
      <c r="A23" s="103" t="s">
        <v>51</v>
      </c>
      <c r="B23" s="122">
        <f>0.01*B5</f>
        <v>84397.944000000003</v>
      </c>
      <c r="H23" s="36" t="s">
        <v>52</v>
      </c>
      <c r="I23" s="4">
        <v>1916532</v>
      </c>
    </row>
    <row r="24" spans="1:12" x14ac:dyDescent="0.45">
      <c r="A24" s="106" t="s">
        <v>53</v>
      </c>
      <c r="B24" s="123">
        <f>0.01*B5</f>
        <v>84397.944000000003</v>
      </c>
    </row>
    <row r="25" spans="1:12" x14ac:dyDescent="0.45">
      <c r="A25" s="103" t="s">
        <v>54</v>
      </c>
      <c r="B25" s="110">
        <f>SUM(B21:B24)</f>
        <v>353147.37600000005</v>
      </c>
      <c r="H25" s="36" t="s">
        <v>55</v>
      </c>
      <c r="I25" s="4">
        <f>I23/(1+H15)</f>
        <v>2209039.2686804449</v>
      </c>
    </row>
    <row r="26" spans="1:12" x14ac:dyDescent="0.45">
      <c r="A26" s="103" t="s">
        <v>56</v>
      </c>
      <c r="B26" s="56">
        <f>SUM(B9,B19,B25)</f>
        <v>9300724.7843887713</v>
      </c>
    </row>
    <row r="27" spans="1:12" x14ac:dyDescent="0.45">
      <c r="I27" s="108">
        <f>I23-I25</f>
        <v>-292507.26868044492</v>
      </c>
    </row>
    <row r="28" spans="1:12" x14ac:dyDescent="0.45">
      <c r="B28" s="143" t="s">
        <v>1</v>
      </c>
      <c r="C28" s="143" t="s">
        <v>57</v>
      </c>
      <c r="D28" s="143" t="s">
        <v>58</v>
      </c>
    </row>
    <row r="29" spans="1:12" x14ac:dyDescent="0.45">
      <c r="A29" s="103" t="s">
        <v>59</v>
      </c>
      <c r="B29" s="116">
        <v>2171</v>
      </c>
      <c r="C29" s="116">
        <v>246.66666666666666</v>
      </c>
      <c r="D29" s="67"/>
    </row>
    <row r="30" spans="1:12" x14ac:dyDescent="0.45">
      <c r="A30" s="103" t="s">
        <v>65</v>
      </c>
      <c r="B30" s="24">
        <v>2091.6804161604282</v>
      </c>
      <c r="C30" s="116"/>
      <c r="D30" s="67"/>
    </row>
    <row r="31" spans="1:12" x14ac:dyDescent="0.45">
      <c r="A31" s="103" t="s">
        <v>61</v>
      </c>
      <c r="B31" s="117">
        <v>0.33</v>
      </c>
      <c r="C31" s="117">
        <v>0.3</v>
      </c>
      <c r="D31" s="67"/>
    </row>
    <row r="32" spans="1:12" x14ac:dyDescent="0.45">
      <c r="A32" s="103" t="s">
        <v>62</v>
      </c>
      <c r="B32" s="67">
        <f>B30*B31</f>
        <v>690.25453733294137</v>
      </c>
      <c r="C32" s="67">
        <f>C29*C31</f>
        <v>74</v>
      </c>
      <c r="D32" s="67">
        <f>SUM(B32:C32)</f>
        <v>764.25453733294137</v>
      </c>
    </row>
    <row r="33" spans="1:5" x14ac:dyDescent="0.45">
      <c r="A33" s="103" t="s">
        <v>66</v>
      </c>
      <c r="B33" s="35">
        <f>B32/B29</f>
        <v>0.31794313096865101</v>
      </c>
      <c r="C33" s="67"/>
      <c r="D33" s="67"/>
    </row>
    <row r="34" spans="1:5" x14ac:dyDescent="0.45">
      <c r="A34" s="103" t="s">
        <v>63</v>
      </c>
      <c r="B34" s="68">
        <f>B26/B32</f>
        <v>13474.340669060472</v>
      </c>
      <c r="C34" s="68">
        <f>B26/C32</f>
        <v>125685.47005930771</v>
      </c>
      <c r="D34" s="68">
        <f>B26/D32</f>
        <v>12169.669043570211</v>
      </c>
    </row>
    <row r="36" spans="1:5" x14ac:dyDescent="0.45">
      <c r="B36" s="56"/>
    </row>
    <row r="37" spans="1:5" x14ac:dyDescent="0.45">
      <c r="B37" s="56"/>
      <c r="C37" s="132"/>
    </row>
    <row r="39" spans="1:5" x14ac:dyDescent="0.45">
      <c r="A39" s="118"/>
      <c r="B39" s="69"/>
      <c r="C39" s="69"/>
      <c r="D39" s="69"/>
      <c r="E39" s="69"/>
    </row>
    <row r="40" spans="1:5" x14ac:dyDescent="0.45">
      <c r="A40" s="118"/>
      <c r="B40" s="69"/>
      <c r="C40" s="69"/>
      <c r="D40" s="69"/>
      <c r="E40" s="69"/>
    </row>
    <row r="41" spans="1:5" x14ac:dyDescent="0.45">
      <c r="A41" s="119"/>
      <c r="B41" s="69"/>
      <c r="C41" s="69"/>
      <c r="D41" s="69"/>
      <c r="E41" s="69"/>
    </row>
    <row r="42" spans="1:5" x14ac:dyDescent="0.45">
      <c r="A42" s="69"/>
      <c r="B42" s="69"/>
      <c r="C42" s="69"/>
      <c r="D42" s="69"/>
      <c r="E42" s="69"/>
    </row>
    <row r="43" spans="1:5" x14ac:dyDescent="0.45">
      <c r="A43" s="119"/>
      <c r="B43" s="77"/>
      <c r="C43" s="69"/>
      <c r="D43" s="69"/>
      <c r="E43" s="69"/>
    </row>
    <row r="44" spans="1:5" x14ac:dyDescent="0.45">
      <c r="A44" s="119"/>
      <c r="B44" s="77"/>
      <c r="C44" s="69"/>
      <c r="D44" s="69"/>
      <c r="E44" s="69"/>
    </row>
    <row r="45" spans="1:5" x14ac:dyDescent="0.45">
      <c r="A45" s="69"/>
      <c r="B45" s="120"/>
      <c r="C45" s="120"/>
      <c r="D45" s="120"/>
      <c r="E45" s="69"/>
    </row>
    <row r="46" spans="1:5" x14ac:dyDescent="0.45">
      <c r="A46" s="119"/>
      <c r="B46" s="77"/>
      <c r="C46" s="77"/>
      <c r="D46" s="77"/>
      <c r="E46" s="69"/>
    </row>
    <row r="47" spans="1:5" x14ac:dyDescent="0.45">
      <c r="A47" s="69"/>
      <c r="B47" s="69"/>
      <c r="C47" s="69"/>
      <c r="D47" s="69"/>
      <c r="E47" s="69"/>
    </row>
  </sheetData>
  <mergeCells count="1">
    <mergeCell ref="C12:C15"/>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R47"/>
  <sheetViews>
    <sheetView topLeftCell="A14" workbookViewId="0">
      <selection activeCell="C43" sqref="C43"/>
    </sheetView>
  </sheetViews>
  <sheetFormatPr defaultColWidth="9.7109375" defaultRowHeight="14.25" x14ac:dyDescent="0.45"/>
  <cols>
    <col min="1" max="1" width="62.28515625" style="1" bestFit="1" customWidth="1"/>
    <col min="2" max="2" width="15.7109375" style="1" bestFit="1" customWidth="1"/>
    <col min="3" max="3" width="18" style="1" bestFit="1" customWidth="1"/>
    <col min="4" max="4" width="11.28515625" style="1" bestFit="1" customWidth="1"/>
    <col min="5" max="5" width="16.28515625" style="1" bestFit="1" customWidth="1"/>
    <col min="6" max="7" width="9.7109375" style="1"/>
    <col min="8" max="8" width="12.5703125" style="1" bestFit="1" customWidth="1"/>
    <col min="9" max="9" width="14.7109375" style="1" bestFit="1" customWidth="1"/>
    <col min="10" max="16384" width="9.7109375" style="1"/>
  </cols>
  <sheetData>
    <row r="1" spans="1:18" x14ac:dyDescent="0.45">
      <c r="H1" s="2" t="s">
        <v>7</v>
      </c>
    </row>
    <row r="2" spans="1:18" x14ac:dyDescent="0.45">
      <c r="A2" s="1" t="s">
        <v>8</v>
      </c>
      <c r="B2" s="1" t="s">
        <v>9</v>
      </c>
      <c r="C2" s="1" t="s">
        <v>10</v>
      </c>
    </row>
    <row r="3" spans="1:18" ht="14.45" customHeight="1" x14ac:dyDescent="0.45">
      <c r="A3" s="3" t="s">
        <v>11</v>
      </c>
      <c r="B3" s="4">
        <v>5509762</v>
      </c>
      <c r="H3" s="1" t="s">
        <v>12</v>
      </c>
    </row>
    <row r="4" spans="1:18" x14ac:dyDescent="0.45">
      <c r="A4" s="3" t="s">
        <v>13</v>
      </c>
      <c r="B4" s="5">
        <f>B3*0.2</f>
        <v>1101952.4000000001</v>
      </c>
      <c r="H4" s="6">
        <v>150000</v>
      </c>
      <c r="I4" s="1" t="s">
        <v>14</v>
      </c>
      <c r="J4" s="1">
        <v>1</v>
      </c>
      <c r="K4" s="1" t="s">
        <v>15</v>
      </c>
      <c r="L4" s="1">
        <v>1</v>
      </c>
      <c r="M4" s="1" t="s">
        <v>16</v>
      </c>
      <c r="N4" s="1">
        <v>1</v>
      </c>
      <c r="O4" s="1" t="s">
        <v>17</v>
      </c>
      <c r="P4" s="1">
        <v>43.5</v>
      </c>
      <c r="Q4" s="1" t="s">
        <v>18</v>
      </c>
      <c r="R4" s="1" t="s">
        <v>19</v>
      </c>
    </row>
    <row r="5" spans="1:18" x14ac:dyDescent="0.45">
      <c r="A5" s="3" t="s">
        <v>20</v>
      </c>
      <c r="B5" s="5">
        <f>SUM(B3:B4)</f>
        <v>6611714.4000000004</v>
      </c>
      <c r="H5" s="1">
        <v>1</v>
      </c>
      <c r="I5" s="1" t="s">
        <v>21</v>
      </c>
      <c r="J5" s="1">
        <v>970</v>
      </c>
      <c r="K5" s="1" t="s">
        <v>14</v>
      </c>
      <c r="L5" s="6">
        <v>11100</v>
      </c>
      <c r="M5" s="1" t="s">
        <v>15</v>
      </c>
      <c r="N5" s="1">
        <v>2000</v>
      </c>
      <c r="O5" s="1" t="s">
        <v>22</v>
      </c>
      <c r="P5" s="1">
        <v>1</v>
      </c>
      <c r="Q5" s="1" t="s">
        <v>17</v>
      </c>
    </row>
    <row r="6" spans="1:18" x14ac:dyDescent="0.45">
      <c r="A6" s="3" t="s">
        <v>23</v>
      </c>
      <c r="B6" s="1">
        <f>(0.07*(1+0.07)^30)/(((1+0.07)^30)-1)</f>
        <v>8.0586403511111196E-2</v>
      </c>
      <c r="C6" s="7" t="s">
        <v>67</v>
      </c>
      <c r="H6" s="8">
        <f>(H4*J4*L4*N4*P4)/(H5*J5*L5*N5*P5)</f>
        <v>3.0300919476177206E-4</v>
      </c>
    </row>
    <row r="8" spans="1:18" x14ac:dyDescent="0.45">
      <c r="A8" s="9"/>
      <c r="B8" s="10"/>
      <c r="C8" s="10"/>
      <c r="H8" s="1" t="s">
        <v>25</v>
      </c>
    </row>
    <row r="9" spans="1:18" x14ac:dyDescent="0.45">
      <c r="A9" s="3" t="s">
        <v>26</v>
      </c>
      <c r="B9" s="11">
        <f>B5*B6</f>
        <v>532814.28453862446</v>
      </c>
      <c r="H9" s="6">
        <v>150000</v>
      </c>
      <c r="I9" s="1" t="s">
        <v>14</v>
      </c>
      <c r="J9" s="1">
        <v>1</v>
      </c>
      <c r="K9" s="1" t="s">
        <v>15</v>
      </c>
      <c r="L9" s="1">
        <v>1</v>
      </c>
      <c r="M9" s="1" t="s">
        <v>27</v>
      </c>
      <c r="N9" s="1">
        <v>1.7</v>
      </c>
      <c r="O9" s="1" t="s">
        <v>18</v>
      </c>
      <c r="P9" s="1" t="s">
        <v>28</v>
      </c>
    </row>
    <row r="10" spans="1:18" x14ac:dyDescent="0.45">
      <c r="A10" s="1" t="s">
        <v>29</v>
      </c>
      <c r="H10" s="1">
        <v>1</v>
      </c>
      <c r="I10" s="1" t="s">
        <v>21</v>
      </c>
      <c r="J10" s="1">
        <v>970</v>
      </c>
      <c r="K10" s="1" t="s">
        <v>14</v>
      </c>
      <c r="L10" s="6">
        <v>1000000</v>
      </c>
      <c r="M10" s="1" t="s">
        <v>15</v>
      </c>
      <c r="N10" s="1">
        <v>1</v>
      </c>
      <c r="O10" s="1" t="s">
        <v>30</v>
      </c>
    </row>
    <row r="11" spans="1:18" x14ac:dyDescent="0.45">
      <c r="A11" s="3" t="s">
        <v>31</v>
      </c>
      <c r="B11" s="12">
        <f>I27</f>
        <v>-292507.26868044492</v>
      </c>
      <c r="C11" s="1" t="s">
        <v>32</v>
      </c>
      <c r="H11" s="13">
        <f>(H9*J9*L9*N9)/(H10*J10*L10*N10)</f>
        <v>2.6288659793814435E-4</v>
      </c>
    </row>
    <row r="12" spans="1:18" ht="14.45" customHeight="1" x14ac:dyDescent="0.45">
      <c r="A12" s="3" t="s">
        <v>33</v>
      </c>
      <c r="B12" s="14">
        <v>0</v>
      </c>
      <c r="C12" s="149"/>
    </row>
    <row r="13" spans="1:18" x14ac:dyDescent="0.45">
      <c r="A13" s="3" t="s">
        <v>34</v>
      </c>
      <c r="B13" s="14">
        <v>0</v>
      </c>
      <c r="C13" s="149"/>
    </row>
    <row r="14" spans="1:18" x14ac:dyDescent="0.45">
      <c r="A14" s="3" t="s">
        <v>35</v>
      </c>
      <c r="B14" s="14">
        <v>0</v>
      </c>
      <c r="C14" s="149"/>
    </row>
    <row r="15" spans="1:18" x14ac:dyDescent="0.45">
      <c r="A15" s="3" t="s">
        <v>36</v>
      </c>
      <c r="B15" s="14">
        <v>0</v>
      </c>
      <c r="C15" s="149"/>
      <c r="H15" s="15">
        <f>(H11-H6)/H6</f>
        <v>-0.13241379310344811</v>
      </c>
    </row>
    <row r="16" spans="1:18" x14ac:dyDescent="0.45">
      <c r="A16" s="3" t="s">
        <v>37</v>
      </c>
      <c r="B16" s="141">
        <v>8465663</v>
      </c>
    </row>
    <row r="17" spans="1:12" x14ac:dyDescent="0.45">
      <c r="A17" s="3" t="s">
        <v>38</v>
      </c>
      <c r="B17" s="141">
        <v>68363</v>
      </c>
      <c r="C17" s="17"/>
      <c r="H17" s="1" t="s">
        <v>39</v>
      </c>
    </row>
    <row r="18" spans="1:12" x14ac:dyDescent="0.45">
      <c r="A18" s="9" t="s">
        <v>40</v>
      </c>
      <c r="B18" s="142">
        <v>25926</v>
      </c>
      <c r="C18" s="18"/>
    </row>
    <row r="19" spans="1:12" x14ac:dyDescent="0.45">
      <c r="A19" s="3" t="s">
        <v>41</v>
      </c>
      <c r="B19" s="12">
        <f>SUM(B11:B18)</f>
        <v>8267444.7313195551</v>
      </c>
      <c r="H19" s="1" t="s">
        <v>42</v>
      </c>
    </row>
    <row r="20" spans="1:12" x14ac:dyDescent="0.45">
      <c r="A20" s="19" t="s">
        <v>43</v>
      </c>
      <c r="I20" s="6"/>
    </row>
    <row r="21" spans="1:12" x14ac:dyDescent="0.45">
      <c r="A21" s="3" t="s">
        <v>44</v>
      </c>
      <c r="B21" s="20">
        <f>0.6*(B13+B14+B18)</f>
        <v>15555.599999999999</v>
      </c>
      <c r="H21" s="1" t="s">
        <v>45</v>
      </c>
      <c r="I21" s="1" t="s">
        <v>46</v>
      </c>
      <c r="J21" s="1" t="s">
        <v>47</v>
      </c>
      <c r="K21" s="1" t="s">
        <v>48</v>
      </c>
      <c r="L21" s="1" t="s">
        <v>49</v>
      </c>
    </row>
    <row r="22" spans="1:12" x14ac:dyDescent="0.45">
      <c r="A22" s="3" t="s">
        <v>50</v>
      </c>
      <c r="B22" s="21">
        <f>0.02*B5</f>
        <v>132234.288</v>
      </c>
    </row>
    <row r="23" spans="1:12" x14ac:dyDescent="0.45">
      <c r="A23" s="3" t="s">
        <v>51</v>
      </c>
      <c r="B23" s="21">
        <f>0.01*B5</f>
        <v>66117.144</v>
      </c>
      <c r="H23" s="1" t="s">
        <v>52</v>
      </c>
      <c r="I23" s="4">
        <v>1916532</v>
      </c>
    </row>
    <row r="24" spans="1:12" x14ac:dyDescent="0.45">
      <c r="A24" s="9" t="s">
        <v>53</v>
      </c>
      <c r="B24" s="22">
        <f>0.01*B5</f>
        <v>66117.144</v>
      </c>
    </row>
    <row r="25" spans="1:12" x14ac:dyDescent="0.45">
      <c r="A25" s="3" t="s">
        <v>54</v>
      </c>
      <c r="B25" s="16">
        <f>SUM(B21:B24)</f>
        <v>280024.17599999998</v>
      </c>
      <c r="H25" s="1" t="s">
        <v>55</v>
      </c>
      <c r="I25" s="4">
        <f>I23/(1+H15)</f>
        <v>2209039.2686804449</v>
      </c>
    </row>
    <row r="26" spans="1:12" x14ac:dyDescent="0.45">
      <c r="A26" s="3" t="s">
        <v>56</v>
      </c>
      <c r="B26" s="11">
        <f>SUM(B9,B19,B25)</f>
        <v>9080283.1918581799</v>
      </c>
    </row>
    <row r="27" spans="1:12" x14ac:dyDescent="0.45">
      <c r="I27" s="12">
        <f>I23-I25</f>
        <v>-292507.26868044492</v>
      </c>
    </row>
    <row r="28" spans="1:12" x14ac:dyDescent="0.45">
      <c r="B28" s="23" t="s">
        <v>1</v>
      </c>
      <c r="C28" s="23" t="s">
        <v>57</v>
      </c>
      <c r="D28" s="23" t="s">
        <v>58</v>
      </c>
    </row>
    <row r="29" spans="1:12" x14ac:dyDescent="0.45">
      <c r="A29" s="3" t="s">
        <v>59</v>
      </c>
      <c r="B29" s="24">
        <v>2171</v>
      </c>
      <c r="C29" s="24">
        <v>246.66666666666666</v>
      </c>
      <c r="D29" s="25"/>
    </row>
    <row r="30" spans="1:12" x14ac:dyDescent="0.45">
      <c r="A30" s="3" t="s">
        <v>68</v>
      </c>
      <c r="B30" s="24">
        <v>2091.6804161604282</v>
      </c>
      <c r="C30" s="24"/>
      <c r="D30" s="25"/>
    </row>
    <row r="31" spans="1:12" x14ac:dyDescent="0.45">
      <c r="A31" s="3" t="s">
        <v>61</v>
      </c>
      <c r="B31" s="26">
        <v>0.33</v>
      </c>
      <c r="C31" s="26">
        <v>0.3</v>
      </c>
      <c r="D31" s="25"/>
    </row>
    <row r="32" spans="1:12" x14ac:dyDescent="0.45">
      <c r="A32" s="3" t="s">
        <v>62</v>
      </c>
      <c r="B32" s="25">
        <f>B30*B31</f>
        <v>690.25453733294137</v>
      </c>
      <c r="C32" s="25">
        <f>C29*C31</f>
        <v>74</v>
      </c>
      <c r="D32" s="25">
        <f>SUM(B32:C32)</f>
        <v>764.25453733294137</v>
      </c>
    </row>
    <row r="33" spans="1:4" x14ac:dyDescent="0.45">
      <c r="A33" s="3" t="s">
        <v>66</v>
      </c>
      <c r="B33" s="35">
        <f>B32/B29</f>
        <v>0.31794313096865101</v>
      </c>
      <c r="C33" s="25"/>
      <c r="D33" s="25"/>
    </row>
    <row r="34" spans="1:4" x14ac:dyDescent="0.45">
      <c r="A34" s="3" t="s">
        <v>63</v>
      </c>
      <c r="B34" s="27">
        <f>B26/B32</f>
        <v>13154.977911399579</v>
      </c>
      <c r="C34" s="27">
        <f>B26/C32</f>
        <v>122706.52961970514</v>
      </c>
      <c r="D34" s="27">
        <f>B26/D32</f>
        <v>11881.22902553659</v>
      </c>
    </row>
    <row r="38" spans="1:4" x14ac:dyDescent="0.45">
      <c r="B38" s="11"/>
    </row>
    <row r="39" spans="1:4" x14ac:dyDescent="0.45">
      <c r="A39" s="28"/>
      <c r="B39" s="29"/>
      <c r="C39" s="30"/>
      <c r="D39" s="30"/>
    </row>
    <row r="40" spans="1:4" x14ac:dyDescent="0.45">
      <c r="A40" s="28"/>
      <c r="B40" s="30"/>
      <c r="C40" s="30"/>
      <c r="D40" s="30"/>
    </row>
    <row r="41" spans="1:4" x14ac:dyDescent="0.45">
      <c r="A41" s="31"/>
      <c r="B41" s="30"/>
      <c r="C41" s="30"/>
      <c r="D41" s="30"/>
    </row>
    <row r="42" spans="1:4" x14ac:dyDescent="0.45">
      <c r="A42" s="30"/>
      <c r="B42" s="30"/>
      <c r="C42" s="30"/>
      <c r="D42" s="30"/>
    </row>
    <row r="43" spans="1:4" x14ac:dyDescent="0.45">
      <c r="A43" s="31"/>
      <c r="B43" s="32"/>
      <c r="C43" s="30"/>
      <c r="D43" s="30"/>
    </row>
    <row r="44" spans="1:4" x14ac:dyDescent="0.45">
      <c r="A44" s="31"/>
      <c r="B44" s="29"/>
      <c r="C44" s="30"/>
      <c r="D44" s="30"/>
    </row>
    <row r="45" spans="1:4" x14ac:dyDescent="0.45">
      <c r="A45" s="30"/>
      <c r="B45" s="33"/>
      <c r="C45" s="33"/>
      <c r="D45" s="33"/>
    </row>
    <row r="46" spans="1:4" x14ac:dyDescent="0.45">
      <c r="A46" s="31"/>
      <c r="B46" s="29"/>
      <c r="C46" s="29"/>
      <c r="D46" s="29"/>
    </row>
    <row r="47" spans="1:4" x14ac:dyDescent="0.45">
      <c r="A47" s="30"/>
      <c r="B47" s="30"/>
      <c r="C47" s="30"/>
      <c r="D47" s="30"/>
    </row>
  </sheetData>
  <mergeCells count="1">
    <mergeCell ref="C12:C15"/>
  </mergeCells>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O37"/>
  <sheetViews>
    <sheetView zoomScale="90" zoomScaleNormal="90" workbookViewId="0">
      <selection activeCell="C19" sqref="C19:E19"/>
    </sheetView>
  </sheetViews>
  <sheetFormatPr defaultColWidth="9.7109375" defaultRowHeight="14.25" x14ac:dyDescent="0.45"/>
  <cols>
    <col min="1" max="1" width="13.42578125" style="36" bestFit="1" customWidth="1"/>
    <col min="2" max="2" width="49.28515625" style="36" customWidth="1"/>
    <col min="3" max="6" width="13.42578125" style="36" bestFit="1" customWidth="1"/>
    <col min="7" max="8" width="9.7109375" style="36"/>
    <col min="9" max="9" width="15.140625" style="36" customWidth="1"/>
    <col min="10" max="10" width="11.85546875" style="36" customWidth="1"/>
    <col min="11" max="11" width="11.42578125" style="36" customWidth="1"/>
    <col min="12" max="16384" width="9.7109375" style="36"/>
  </cols>
  <sheetData>
    <row r="1" spans="1:15" ht="77.25" customHeight="1" x14ac:dyDescent="0.45">
      <c r="A1" s="162" t="s">
        <v>69</v>
      </c>
      <c r="B1" s="162"/>
      <c r="C1" s="162"/>
      <c r="D1" s="162"/>
      <c r="E1" s="162"/>
      <c r="F1" s="162"/>
      <c r="G1" s="162"/>
      <c r="H1" s="162"/>
      <c r="I1" s="162"/>
      <c r="J1" s="162"/>
      <c r="K1" s="162"/>
      <c r="L1" s="162"/>
      <c r="M1" s="162"/>
      <c r="N1" s="162"/>
    </row>
    <row r="3" spans="1:15" ht="14.65" thickBot="1" x14ac:dyDescent="0.5">
      <c r="H3" s="36" t="s">
        <v>70</v>
      </c>
    </row>
    <row r="4" spans="1:15" x14ac:dyDescent="0.45">
      <c r="C4" s="163" t="s">
        <v>71</v>
      </c>
      <c r="D4" s="163"/>
      <c r="E4" s="163"/>
      <c r="H4" s="164" t="s">
        <v>72</v>
      </c>
      <c r="I4" s="166" t="s">
        <v>73</v>
      </c>
      <c r="J4" s="166" t="s">
        <v>74</v>
      </c>
      <c r="K4" s="166" t="s">
        <v>75</v>
      </c>
      <c r="L4" s="166" t="s">
        <v>76</v>
      </c>
      <c r="M4" s="166"/>
      <c r="N4" s="168" t="s">
        <v>77</v>
      </c>
      <c r="O4" s="37"/>
    </row>
    <row r="5" spans="1:15" ht="20.25" customHeight="1" x14ac:dyDescent="0.45">
      <c r="B5" s="38"/>
      <c r="C5" s="39">
        <v>2.5000000000000001E-2</v>
      </c>
      <c r="D5" s="40">
        <v>0.02</v>
      </c>
      <c r="E5" s="39">
        <v>1.4999999999999999E-2</v>
      </c>
      <c r="H5" s="165"/>
      <c r="I5" s="167"/>
      <c r="J5" s="167"/>
      <c r="K5" s="167"/>
      <c r="L5" s="167"/>
      <c r="M5" s="167"/>
      <c r="N5" s="169"/>
      <c r="O5" s="37"/>
    </row>
    <row r="6" spans="1:15" x14ac:dyDescent="0.45">
      <c r="B6" s="41" t="s">
        <v>78</v>
      </c>
      <c r="C6" s="34">
        <v>684000</v>
      </c>
      <c r="D6" s="34">
        <v>1187500</v>
      </c>
      <c r="E6" s="34">
        <v>2519500</v>
      </c>
      <c r="H6" s="42">
        <v>2017</v>
      </c>
      <c r="I6" s="43">
        <v>310960.93784872931</v>
      </c>
      <c r="J6" s="43">
        <v>311682.24812014552</v>
      </c>
      <c r="K6" s="43">
        <v>262666.46416834614</v>
      </c>
      <c r="L6" s="152">
        <v>885309.65013722098</v>
      </c>
      <c r="M6" s="153"/>
      <c r="N6" s="44">
        <v>2061.8085700725587</v>
      </c>
      <c r="O6" s="37"/>
    </row>
    <row r="7" spans="1:15" x14ac:dyDescent="0.45">
      <c r="B7" s="41" t="s">
        <v>79</v>
      </c>
      <c r="C7" s="34">
        <f>C6*0.08</f>
        <v>54720</v>
      </c>
      <c r="D7" s="34">
        <f>D6*0.08</f>
        <v>95000</v>
      </c>
      <c r="E7" s="34">
        <v>160000</v>
      </c>
      <c r="H7" s="42">
        <v>2018</v>
      </c>
      <c r="I7" s="43">
        <v>254561.72213745999</v>
      </c>
      <c r="J7" s="43">
        <v>274153.93341358483</v>
      </c>
      <c r="K7" s="43">
        <v>221517.35336032978</v>
      </c>
      <c r="L7" s="152">
        <v>750233.00891137461</v>
      </c>
      <c r="M7" s="153"/>
      <c r="N7" s="44">
        <v>2269.6525613845133</v>
      </c>
      <c r="O7" s="37"/>
    </row>
    <row r="8" spans="1:15" ht="14.65" thickBot="1" x14ac:dyDescent="0.5">
      <c r="B8" s="41" t="s">
        <v>80</v>
      </c>
      <c r="C8" s="34">
        <f>SUM(C6:C7)</f>
        <v>738720</v>
      </c>
      <c r="D8" s="34">
        <f t="shared" ref="D8:E8" si="0">SUM(D6:D7)</f>
        <v>1282500</v>
      </c>
      <c r="E8" s="34">
        <f t="shared" si="0"/>
        <v>2679500</v>
      </c>
      <c r="F8" s="45"/>
      <c r="H8" s="46">
        <v>2019</v>
      </c>
      <c r="I8" s="47">
        <v>245435.60003544323</v>
      </c>
      <c r="J8" s="47">
        <v>298760.90426588367</v>
      </c>
      <c r="K8" s="47">
        <v>282516.59086506633</v>
      </c>
      <c r="L8" s="154">
        <v>826713.09516639332</v>
      </c>
      <c r="M8" s="155"/>
      <c r="N8" s="48">
        <v>1943.580117024213</v>
      </c>
      <c r="O8" s="49"/>
    </row>
    <row r="9" spans="1:15" x14ac:dyDescent="0.45">
      <c r="B9" s="41" t="s">
        <v>81</v>
      </c>
      <c r="C9" s="34">
        <v>2171</v>
      </c>
      <c r="D9" s="34">
        <v>2171</v>
      </c>
      <c r="E9" s="34">
        <v>2171</v>
      </c>
    </row>
    <row r="10" spans="1:15" x14ac:dyDescent="0.45">
      <c r="B10" s="41" t="s">
        <v>82</v>
      </c>
      <c r="C10" s="34">
        <f>AVERAGE(N6:N8)</f>
        <v>2091.6804161604282</v>
      </c>
      <c r="D10" s="50">
        <f>AVERAGE(N6:N8)</f>
        <v>2091.6804161604282</v>
      </c>
      <c r="E10" s="34">
        <f>AVERAGE(N6:N8)</f>
        <v>2091.6804161604282</v>
      </c>
    </row>
    <row r="11" spans="1:15" ht="14.65" thickBot="1" x14ac:dyDescent="0.5">
      <c r="B11" s="41" t="s">
        <v>83</v>
      </c>
      <c r="C11" s="51">
        <f>(2.787%-2.5%)/2.787%</f>
        <v>0.10297811266594896</v>
      </c>
      <c r="D11" s="51">
        <f>(2.787%-2%)/2.787%</f>
        <v>0.28238249013275918</v>
      </c>
      <c r="E11" s="51">
        <f>(2.787%-1.5%)/2.787%</f>
        <v>0.46178686759956944</v>
      </c>
      <c r="H11" s="36" t="s">
        <v>84</v>
      </c>
    </row>
    <row r="12" spans="1:15" x14ac:dyDescent="0.45">
      <c r="B12" s="41" t="s">
        <v>62</v>
      </c>
      <c r="C12" s="52">
        <f>C11*C10</f>
        <v>215.39730155652759</v>
      </c>
      <c r="D12" s="52">
        <f>D10*D11</f>
        <v>590.65392447730778</v>
      </c>
      <c r="E12" s="52">
        <f>E10*E11</f>
        <v>965.91054739808794</v>
      </c>
      <c r="H12" s="156" t="s">
        <v>85</v>
      </c>
      <c r="I12" s="158" t="s">
        <v>86</v>
      </c>
      <c r="J12" s="158" t="s">
        <v>87</v>
      </c>
      <c r="K12" s="160" t="s">
        <v>88</v>
      </c>
    </row>
    <row r="13" spans="1:15" x14ac:dyDescent="0.45">
      <c r="B13" s="41" t="s">
        <v>89</v>
      </c>
      <c r="C13" s="53">
        <f>C12/C9</f>
        <v>9.9215707764406996E-2</v>
      </c>
      <c r="D13" s="53">
        <f>D12/D9</f>
        <v>0.27206537285919291</v>
      </c>
      <c r="E13" s="53">
        <f>E12/E9</f>
        <v>0.4449150379539788</v>
      </c>
      <c r="G13" s="15"/>
      <c r="H13" s="157"/>
      <c r="I13" s="159"/>
      <c r="J13" s="159"/>
      <c r="K13" s="161"/>
    </row>
    <row r="14" spans="1:15" x14ac:dyDescent="0.45">
      <c r="B14" s="54" t="s">
        <v>63</v>
      </c>
      <c r="C14" s="55">
        <f>C8/C12</f>
        <v>3429.5694266445335</v>
      </c>
      <c r="D14" s="55">
        <f>D8/D12</f>
        <v>2171.3222360029745</v>
      </c>
      <c r="E14" s="55">
        <f>E8/E12</f>
        <v>2774.0664052358438</v>
      </c>
      <c r="F14" s="56"/>
      <c r="G14" s="56"/>
      <c r="H14" s="57">
        <v>2017</v>
      </c>
      <c r="I14" s="58">
        <v>885309.65013722098</v>
      </c>
      <c r="J14" s="58">
        <v>116684.55245299998</v>
      </c>
      <c r="K14" s="59">
        <v>1001994.202590221</v>
      </c>
    </row>
    <row r="15" spans="1:15" x14ac:dyDescent="0.45">
      <c r="B15" s="41" t="s">
        <v>90</v>
      </c>
      <c r="C15" s="60">
        <v>0</v>
      </c>
      <c r="D15" s="61">
        <f>(D8-C8)/(D12-C12)</f>
        <v>1449.0883485747206</v>
      </c>
      <c r="E15" s="62">
        <f>(E8-C8)/(E12-C12)</f>
        <v>2585.9370380915502</v>
      </c>
      <c r="F15" s="56"/>
      <c r="H15" s="57">
        <v>2018</v>
      </c>
      <c r="I15" s="58">
        <v>750233.00891137461</v>
      </c>
      <c r="J15" s="58">
        <v>138494.36275700002</v>
      </c>
      <c r="K15" s="59">
        <v>888727.37166837463</v>
      </c>
    </row>
    <row r="16" spans="1:15" ht="14.65" thickBot="1" x14ac:dyDescent="0.5">
      <c r="B16" s="63" t="s">
        <v>91</v>
      </c>
      <c r="C16" s="60">
        <v>0</v>
      </c>
      <c r="D16" s="61">
        <v>0</v>
      </c>
      <c r="E16" s="62">
        <f>(E8-D8)/(E12-D12)</f>
        <v>3722.7857276083801</v>
      </c>
      <c r="F16" s="56"/>
      <c r="H16" s="64">
        <v>2019</v>
      </c>
      <c r="I16" s="65">
        <v>826713.09516639332</v>
      </c>
      <c r="J16" s="65">
        <v>113378.515847</v>
      </c>
      <c r="K16" s="66">
        <v>940091.61101339338</v>
      </c>
    </row>
    <row r="19" spans="1:13" ht="36" customHeight="1" x14ac:dyDescent="0.45">
      <c r="A19" s="69"/>
      <c r="B19" s="69"/>
      <c r="C19" s="150"/>
      <c r="D19" s="151"/>
      <c r="E19" s="151"/>
    </row>
    <row r="20" spans="1:13" x14ac:dyDescent="0.45">
      <c r="A20" s="69"/>
      <c r="B20" s="69"/>
      <c r="C20" s="75"/>
      <c r="D20" s="76"/>
      <c r="E20" s="75"/>
    </row>
    <row r="21" spans="1:13" x14ac:dyDescent="0.45">
      <c r="A21" s="69"/>
      <c r="B21" s="77"/>
      <c r="C21" s="77"/>
      <c r="D21" s="77"/>
      <c r="E21" s="77"/>
    </row>
    <row r="22" spans="1:13" x14ac:dyDescent="0.45">
      <c r="A22" s="69"/>
      <c r="B22" s="77"/>
      <c r="C22" s="77"/>
      <c r="D22" s="77"/>
      <c r="E22" s="77"/>
      <c r="F22" s="69"/>
    </row>
    <row r="23" spans="1:13" x14ac:dyDescent="0.45">
      <c r="A23" s="70"/>
      <c r="B23" s="69"/>
      <c r="C23" s="69"/>
      <c r="D23" s="69"/>
      <c r="E23" s="69"/>
      <c r="F23" s="69"/>
    </row>
    <row r="24" spans="1:13" x14ac:dyDescent="0.45">
      <c r="A24" s="69"/>
      <c r="B24" s="69"/>
      <c r="C24" s="69"/>
      <c r="D24" s="69"/>
      <c r="E24" s="69"/>
      <c r="F24" s="69"/>
    </row>
    <row r="29" spans="1:13" x14ac:dyDescent="0.45">
      <c r="G29" s="69"/>
      <c r="H29" s="69"/>
      <c r="I29" s="69"/>
      <c r="J29" s="69"/>
      <c r="K29" s="69"/>
      <c r="L29" s="69"/>
      <c r="M29" s="69"/>
    </row>
    <row r="30" spans="1:13" x14ac:dyDescent="0.45">
      <c r="G30" s="69"/>
      <c r="H30" s="71" t="s">
        <v>92</v>
      </c>
      <c r="I30" s="72"/>
      <c r="J30" s="72"/>
      <c r="K30" s="72"/>
      <c r="L30" s="69"/>
      <c r="M30" s="69"/>
    </row>
    <row r="31" spans="1:13" x14ac:dyDescent="0.45">
      <c r="G31" s="69"/>
      <c r="H31" s="72"/>
      <c r="I31" s="72" t="s">
        <v>1</v>
      </c>
      <c r="J31" s="72" t="s">
        <v>2</v>
      </c>
      <c r="K31" s="72" t="s">
        <v>3</v>
      </c>
      <c r="L31" s="69"/>
      <c r="M31" s="69"/>
    </row>
    <row r="32" spans="1:13" x14ac:dyDescent="0.45">
      <c r="G32" s="69"/>
      <c r="H32" s="72">
        <v>2017</v>
      </c>
      <c r="I32" s="72">
        <v>2139</v>
      </c>
      <c r="J32" s="72">
        <v>241</v>
      </c>
      <c r="K32" s="72" t="s">
        <v>4</v>
      </c>
      <c r="L32" s="69"/>
      <c r="M32" s="69"/>
    </row>
    <row r="33" spans="7:13" x14ac:dyDescent="0.45">
      <c r="G33" s="69"/>
      <c r="H33" s="72">
        <v>2018</v>
      </c>
      <c r="I33" s="72">
        <v>2319</v>
      </c>
      <c r="J33" s="72">
        <v>268</v>
      </c>
      <c r="K33" s="72" t="s">
        <v>4</v>
      </c>
      <c r="L33" s="69"/>
      <c r="M33" s="69"/>
    </row>
    <row r="34" spans="7:13" x14ac:dyDescent="0.45">
      <c r="G34" s="69"/>
      <c r="H34" s="72">
        <v>2019</v>
      </c>
      <c r="I34" s="72">
        <v>2055</v>
      </c>
      <c r="J34" s="72">
        <v>231</v>
      </c>
      <c r="K34" s="72" t="s">
        <v>5</v>
      </c>
      <c r="L34" s="69"/>
      <c r="M34" s="69"/>
    </row>
    <row r="35" spans="7:13" x14ac:dyDescent="0.45">
      <c r="G35" s="69"/>
      <c r="H35" s="73" t="s">
        <v>6</v>
      </c>
      <c r="I35" s="74">
        <v>2171</v>
      </c>
      <c r="J35" s="74">
        <v>246.66666666666666</v>
      </c>
      <c r="K35" s="72"/>
      <c r="L35" s="69"/>
      <c r="M35" s="69"/>
    </row>
    <row r="36" spans="7:13" x14ac:dyDescent="0.45">
      <c r="G36" s="69"/>
      <c r="H36" s="69"/>
      <c r="I36" s="69"/>
      <c r="J36" s="69"/>
      <c r="K36" s="69"/>
      <c r="L36" s="69"/>
      <c r="M36" s="69"/>
    </row>
    <row r="37" spans="7:13" x14ac:dyDescent="0.45">
      <c r="G37" s="69"/>
      <c r="H37" s="69"/>
      <c r="I37" s="69"/>
      <c r="J37" s="69"/>
      <c r="K37" s="69"/>
      <c r="L37" s="69"/>
      <c r="M37" s="69"/>
    </row>
  </sheetData>
  <mergeCells count="16">
    <mergeCell ref="A1:N1"/>
    <mergeCell ref="C4:E4"/>
    <mergeCell ref="H4:H5"/>
    <mergeCell ref="I4:I5"/>
    <mergeCell ref="J4:J5"/>
    <mergeCell ref="K4:K5"/>
    <mergeCell ref="L4:M5"/>
    <mergeCell ref="N4:N5"/>
    <mergeCell ref="C19:E19"/>
    <mergeCell ref="L6:M6"/>
    <mergeCell ref="L7:M7"/>
    <mergeCell ref="L8:M8"/>
    <mergeCell ref="H12:H13"/>
    <mergeCell ref="I12:I13"/>
    <mergeCell ref="J12:J13"/>
    <mergeCell ref="K12:K13"/>
  </mergeCells>
  <pageMargins left="0.7" right="0.7" top="0.75" bottom="0.75" header="0.3" footer="0.3"/>
  <pageSetup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L41"/>
  <sheetViews>
    <sheetView workbookViewId="0">
      <selection activeCell="C6" sqref="C6"/>
    </sheetView>
  </sheetViews>
  <sheetFormatPr defaultColWidth="9.7109375" defaultRowHeight="14.25" x14ac:dyDescent="0.45"/>
  <cols>
    <col min="1" max="1" width="62.28515625" style="36" bestFit="1" customWidth="1"/>
    <col min="2" max="2" width="15.7109375" style="36" bestFit="1" customWidth="1"/>
    <col min="3" max="3" width="18" style="36" bestFit="1" customWidth="1"/>
    <col min="4" max="4" width="11.28515625" style="36" bestFit="1" customWidth="1"/>
    <col min="5" max="5" width="16.28515625" style="36" bestFit="1" customWidth="1"/>
    <col min="6" max="7" width="9.7109375" style="36"/>
    <col min="8" max="8" width="12.5703125" style="36" bestFit="1" customWidth="1"/>
    <col min="9" max="9" width="14.7109375" style="36" bestFit="1" customWidth="1"/>
    <col min="10" max="16384" width="9.7109375" style="36"/>
  </cols>
  <sheetData>
    <row r="1" spans="1:12" x14ac:dyDescent="0.45">
      <c r="H1" s="102"/>
    </row>
    <row r="2" spans="1:12" x14ac:dyDescent="0.45">
      <c r="A2" s="36" t="s">
        <v>8</v>
      </c>
      <c r="B2" s="36" t="s">
        <v>9</v>
      </c>
      <c r="C2" s="36" t="s">
        <v>10</v>
      </c>
    </row>
    <row r="3" spans="1:12" ht="14.45" customHeight="1" x14ac:dyDescent="0.45">
      <c r="A3" s="103" t="s">
        <v>11</v>
      </c>
      <c r="B3" s="4">
        <v>57853376</v>
      </c>
      <c r="C3" s="36" t="s">
        <v>93</v>
      </c>
    </row>
    <row r="4" spans="1:12" x14ac:dyDescent="0.45">
      <c r="A4" s="103" t="s">
        <v>13</v>
      </c>
      <c r="B4" s="5">
        <f>B3*0.2</f>
        <v>11570675.200000001</v>
      </c>
      <c r="H4" s="104"/>
    </row>
    <row r="5" spans="1:12" x14ac:dyDescent="0.45">
      <c r="A5" s="103" t="s">
        <v>20</v>
      </c>
      <c r="B5" s="5">
        <f>SUM(B3:B4)</f>
        <v>69424051.200000003</v>
      </c>
      <c r="L5" s="104"/>
    </row>
    <row r="6" spans="1:12" x14ac:dyDescent="0.45">
      <c r="A6" s="103" t="s">
        <v>23</v>
      </c>
      <c r="B6" s="1">
        <f>(0.07*(1+0.07)^30)/(((1+0.07)^30)-1)</f>
        <v>8.0586403511111196E-2</v>
      </c>
      <c r="C6" s="7" t="s">
        <v>67</v>
      </c>
      <c r="H6" s="8"/>
    </row>
    <row r="8" spans="1:12" x14ac:dyDescent="0.45">
      <c r="A8" s="106"/>
      <c r="B8" s="107"/>
      <c r="C8" s="107"/>
    </row>
    <row r="9" spans="1:12" x14ac:dyDescent="0.45">
      <c r="A9" s="103" t="s">
        <v>26</v>
      </c>
      <c r="B9" s="56">
        <f>B5*B6</f>
        <v>5594634.603379244</v>
      </c>
      <c r="H9" s="104"/>
    </row>
    <row r="10" spans="1:12" x14ac:dyDescent="0.45">
      <c r="A10" s="36" t="s">
        <v>29</v>
      </c>
      <c r="L10" s="104"/>
    </row>
    <row r="11" spans="1:12" x14ac:dyDescent="0.45">
      <c r="A11" s="103" t="s">
        <v>94</v>
      </c>
      <c r="B11" s="108">
        <v>2166649</v>
      </c>
      <c r="H11" s="13"/>
    </row>
    <row r="12" spans="1:12" ht="14.45" customHeight="1" x14ac:dyDescent="0.45">
      <c r="A12" s="103" t="s">
        <v>95</v>
      </c>
      <c r="B12" s="109">
        <v>448041</v>
      </c>
      <c r="C12" s="148"/>
    </row>
    <row r="13" spans="1:12" x14ac:dyDescent="0.45">
      <c r="A13" s="103" t="s">
        <v>96</v>
      </c>
      <c r="B13" s="109">
        <v>70376</v>
      </c>
      <c r="C13" s="148"/>
    </row>
    <row r="14" spans="1:12" x14ac:dyDescent="0.45">
      <c r="A14" s="103" t="s">
        <v>97</v>
      </c>
      <c r="B14" s="109">
        <v>6742</v>
      </c>
      <c r="C14" s="148"/>
    </row>
    <row r="15" spans="1:12" x14ac:dyDescent="0.45">
      <c r="A15" s="103" t="s">
        <v>98</v>
      </c>
      <c r="B15" s="109">
        <v>332983</v>
      </c>
      <c r="C15" s="148"/>
      <c r="H15" s="15"/>
    </row>
    <row r="16" spans="1:12" x14ac:dyDescent="0.45">
      <c r="A16" s="103" t="s">
        <v>99</v>
      </c>
      <c r="B16" s="110">
        <v>18424</v>
      </c>
    </row>
    <row r="17" spans="1:9" x14ac:dyDescent="0.45">
      <c r="A17" s="103" t="s">
        <v>41</v>
      </c>
      <c r="B17" s="108">
        <f>SUM(B11:B16)</f>
        <v>3043215</v>
      </c>
    </row>
    <row r="18" spans="1:9" x14ac:dyDescent="0.45">
      <c r="A18" s="145" t="s">
        <v>43</v>
      </c>
      <c r="I18" s="104"/>
    </row>
    <row r="19" spans="1:9" x14ac:dyDescent="0.45">
      <c r="A19" s="103" t="s">
        <v>44</v>
      </c>
      <c r="B19" s="133">
        <f>0.6*(SUM(B11:B13))</f>
        <v>1611039.5999999999</v>
      </c>
    </row>
    <row r="20" spans="1:9" x14ac:dyDescent="0.45">
      <c r="A20" s="103" t="s">
        <v>50</v>
      </c>
      <c r="B20" s="110">
        <f>0.02*B5</f>
        <v>1388481.024</v>
      </c>
    </row>
    <row r="21" spans="1:9" x14ac:dyDescent="0.45">
      <c r="A21" s="103" t="s">
        <v>51</v>
      </c>
      <c r="B21" s="110">
        <f>0.01*B5</f>
        <v>694240.51199999999</v>
      </c>
      <c r="I21" s="4"/>
    </row>
    <row r="22" spans="1:9" x14ac:dyDescent="0.45">
      <c r="A22" s="106" t="s">
        <v>53</v>
      </c>
      <c r="B22" s="112">
        <f>0.01*B5</f>
        <v>694240.51199999999</v>
      </c>
    </row>
    <row r="23" spans="1:9" x14ac:dyDescent="0.45">
      <c r="A23" s="103" t="s">
        <v>54</v>
      </c>
      <c r="B23" s="110">
        <f>SUM(B19:B22)</f>
        <v>4388001.648</v>
      </c>
      <c r="I23" s="4"/>
    </row>
    <row r="24" spans="1:9" x14ac:dyDescent="0.45">
      <c r="A24" s="103" t="s">
        <v>56</v>
      </c>
      <c r="B24" s="56">
        <f>SUM(B9,B17,B23)</f>
        <v>13025851.251379244</v>
      </c>
    </row>
    <row r="25" spans="1:9" x14ac:dyDescent="0.45">
      <c r="I25" s="108"/>
    </row>
    <row r="26" spans="1:9" x14ac:dyDescent="0.45">
      <c r="B26" s="143" t="s">
        <v>1</v>
      </c>
      <c r="C26" s="120"/>
      <c r="D26" s="120"/>
    </row>
    <row r="27" spans="1:9" x14ac:dyDescent="0.45">
      <c r="A27" s="103" t="s">
        <v>59</v>
      </c>
      <c r="B27" s="116">
        <v>2171</v>
      </c>
      <c r="C27" s="134"/>
      <c r="D27" s="69"/>
    </row>
    <row r="28" spans="1:9" x14ac:dyDescent="0.45">
      <c r="A28" s="103" t="s">
        <v>61</v>
      </c>
      <c r="B28" s="117">
        <v>0.94</v>
      </c>
      <c r="C28" s="135"/>
      <c r="D28" s="69"/>
    </row>
    <row r="29" spans="1:9" x14ac:dyDescent="0.45">
      <c r="A29" s="103" t="s">
        <v>62</v>
      </c>
      <c r="B29" s="67">
        <f>B27*B28</f>
        <v>2040.7399999999998</v>
      </c>
      <c r="C29" s="69"/>
      <c r="D29" s="69"/>
    </row>
    <row r="30" spans="1:9" x14ac:dyDescent="0.45">
      <c r="A30" s="103" t="s">
        <v>63</v>
      </c>
      <c r="B30" s="68">
        <f>B24/B29</f>
        <v>6382.9058338540162</v>
      </c>
      <c r="C30" s="77"/>
      <c r="D30" s="77"/>
    </row>
    <row r="33" spans="1:5" x14ac:dyDescent="0.45">
      <c r="A33" s="118"/>
      <c r="B33" s="69"/>
      <c r="C33" s="69"/>
      <c r="D33" s="69"/>
      <c r="E33" s="69"/>
    </row>
    <row r="34" spans="1:5" x14ac:dyDescent="0.45">
      <c r="A34" s="118"/>
      <c r="B34" s="69"/>
      <c r="C34" s="69"/>
      <c r="D34" s="69"/>
      <c r="E34" s="69"/>
    </row>
    <row r="35" spans="1:5" x14ac:dyDescent="0.45">
      <c r="A35" s="119"/>
      <c r="B35" s="69"/>
      <c r="C35" s="69"/>
      <c r="D35" s="69"/>
      <c r="E35" s="69"/>
    </row>
    <row r="36" spans="1:5" x14ac:dyDescent="0.45">
      <c r="A36" s="69"/>
      <c r="B36" s="69"/>
      <c r="C36" s="69"/>
      <c r="D36" s="69"/>
      <c r="E36" s="69"/>
    </row>
    <row r="37" spans="1:5" x14ac:dyDescent="0.45">
      <c r="A37" s="119"/>
      <c r="B37" s="77"/>
      <c r="C37" s="69"/>
      <c r="D37" s="69"/>
      <c r="E37" s="69"/>
    </row>
    <row r="38" spans="1:5" x14ac:dyDescent="0.45">
      <c r="A38" s="119"/>
      <c r="B38" s="77"/>
      <c r="C38" s="69"/>
      <c r="D38" s="69"/>
      <c r="E38" s="69"/>
    </row>
    <row r="39" spans="1:5" x14ac:dyDescent="0.45">
      <c r="A39" s="69"/>
      <c r="B39" s="120"/>
      <c r="C39" s="120"/>
      <c r="D39" s="120"/>
      <c r="E39" s="69"/>
    </row>
    <row r="40" spans="1:5" x14ac:dyDescent="0.45">
      <c r="A40" s="119"/>
      <c r="B40" s="77"/>
      <c r="C40" s="77"/>
      <c r="D40" s="77"/>
      <c r="E40" s="69"/>
    </row>
    <row r="41" spans="1:5" x14ac:dyDescent="0.45">
      <c r="A41" s="69"/>
      <c r="B41" s="69"/>
      <c r="C41" s="69"/>
      <c r="D41" s="69"/>
      <c r="E41" s="69"/>
    </row>
  </sheetData>
  <mergeCells count="1">
    <mergeCell ref="C12:C15"/>
  </mergeCells>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L41"/>
  <sheetViews>
    <sheetView workbookViewId="0">
      <selection activeCell="C6" sqref="C6"/>
    </sheetView>
  </sheetViews>
  <sheetFormatPr defaultColWidth="9.7109375" defaultRowHeight="14.25" x14ac:dyDescent="0.45"/>
  <cols>
    <col min="1" max="1" width="62.28515625" style="36" bestFit="1" customWidth="1"/>
    <col min="2" max="2" width="18.42578125" style="36" bestFit="1" customWidth="1"/>
    <col min="3" max="3" width="26.42578125" style="36" customWidth="1"/>
    <col min="4" max="4" width="11.28515625" style="36" bestFit="1" customWidth="1"/>
    <col min="5" max="5" width="16.28515625" style="36" bestFit="1" customWidth="1"/>
    <col min="6" max="7" width="9.7109375" style="36"/>
    <col min="8" max="8" width="12.5703125" style="36" bestFit="1" customWidth="1"/>
    <col min="9" max="9" width="14.7109375" style="36" bestFit="1" customWidth="1"/>
    <col min="10" max="16384" width="9.7109375" style="36"/>
  </cols>
  <sheetData>
    <row r="1" spans="1:12" x14ac:dyDescent="0.45">
      <c r="H1" s="102"/>
    </row>
    <row r="2" spans="1:12" x14ac:dyDescent="0.45">
      <c r="A2" s="36" t="s">
        <v>8</v>
      </c>
      <c r="B2" s="36" t="s">
        <v>9</v>
      </c>
      <c r="C2" s="36" t="s">
        <v>10</v>
      </c>
    </row>
    <row r="3" spans="1:12" ht="14.45" customHeight="1" x14ac:dyDescent="0.45">
      <c r="A3" s="103" t="s">
        <v>11</v>
      </c>
      <c r="B3" s="4">
        <v>49722467</v>
      </c>
      <c r="C3" s="36" t="s">
        <v>100</v>
      </c>
    </row>
    <row r="4" spans="1:12" x14ac:dyDescent="0.45">
      <c r="A4" s="103" t="s">
        <v>13</v>
      </c>
      <c r="B4" s="5">
        <f>B3*0.2</f>
        <v>9944493.4000000004</v>
      </c>
      <c r="H4" s="104"/>
    </row>
    <row r="5" spans="1:12" x14ac:dyDescent="0.45">
      <c r="A5" s="103" t="s">
        <v>20</v>
      </c>
      <c r="B5" s="5">
        <f>SUM(B3:B4)</f>
        <v>59666960.399999999</v>
      </c>
      <c r="L5" s="104"/>
    </row>
    <row r="6" spans="1:12" x14ac:dyDescent="0.45">
      <c r="A6" s="103" t="s">
        <v>23</v>
      </c>
      <c r="B6" s="1">
        <f>(0.07*(1+0.07)^30)/(((1+0.07)^30)-1)</f>
        <v>8.0586403511111196E-2</v>
      </c>
      <c r="C6" s="7" t="s">
        <v>67</v>
      </c>
      <c r="H6" s="8"/>
    </row>
    <row r="8" spans="1:12" x14ac:dyDescent="0.45">
      <c r="A8" s="106"/>
      <c r="B8" s="107"/>
      <c r="C8" s="107"/>
    </row>
    <row r="9" spans="1:12" x14ac:dyDescent="0.45">
      <c r="A9" s="103" t="s">
        <v>26</v>
      </c>
      <c r="B9" s="56">
        <f>B5*B6</f>
        <v>4808345.747075893</v>
      </c>
      <c r="H9" s="104"/>
    </row>
    <row r="10" spans="1:12" x14ac:dyDescent="0.45">
      <c r="A10" s="36" t="s">
        <v>29</v>
      </c>
      <c r="L10" s="104"/>
    </row>
    <row r="11" spans="1:12" x14ac:dyDescent="0.45">
      <c r="A11" s="103" t="s">
        <v>94</v>
      </c>
      <c r="B11" s="108">
        <v>1444433</v>
      </c>
      <c r="H11" s="13"/>
    </row>
    <row r="12" spans="1:12" ht="14.45" customHeight="1" x14ac:dyDescent="0.45">
      <c r="A12" s="103" t="s">
        <v>101</v>
      </c>
      <c r="B12" s="109">
        <v>173063</v>
      </c>
      <c r="C12" s="148"/>
    </row>
    <row r="13" spans="1:12" x14ac:dyDescent="0.45">
      <c r="A13" s="103" t="s">
        <v>96</v>
      </c>
      <c r="B13" s="109">
        <v>45410</v>
      </c>
      <c r="C13" s="148"/>
    </row>
    <row r="14" spans="1:12" x14ac:dyDescent="0.45">
      <c r="A14" s="103" t="s">
        <v>97</v>
      </c>
      <c r="B14" s="109">
        <v>6763</v>
      </c>
      <c r="C14" s="148"/>
    </row>
    <row r="15" spans="1:12" x14ac:dyDescent="0.45">
      <c r="A15" s="103" t="s">
        <v>98</v>
      </c>
      <c r="B15" s="109">
        <v>379506</v>
      </c>
      <c r="C15" s="148"/>
      <c r="H15" s="15"/>
    </row>
    <row r="16" spans="1:12" x14ac:dyDescent="0.45">
      <c r="A16" s="103" t="s">
        <v>102</v>
      </c>
      <c r="B16" s="110">
        <v>18424</v>
      </c>
    </row>
    <row r="17" spans="1:9" x14ac:dyDescent="0.45">
      <c r="A17" s="103" t="s">
        <v>41</v>
      </c>
      <c r="B17" s="108">
        <f>SUM(B11:B16)</f>
        <v>2067599</v>
      </c>
    </row>
    <row r="18" spans="1:9" x14ac:dyDescent="0.45">
      <c r="A18" s="145" t="s">
        <v>43</v>
      </c>
      <c r="I18" s="104"/>
    </row>
    <row r="19" spans="1:9" x14ac:dyDescent="0.45">
      <c r="A19" s="103" t="s">
        <v>44</v>
      </c>
      <c r="B19" s="133">
        <f>0.6*(SUM(B11:B13))</f>
        <v>997743.6</v>
      </c>
    </row>
    <row r="20" spans="1:9" x14ac:dyDescent="0.45">
      <c r="A20" s="103" t="s">
        <v>50</v>
      </c>
      <c r="B20" s="122">
        <f>0.02*B5</f>
        <v>1193339.2080000001</v>
      </c>
    </row>
    <row r="21" spans="1:9" x14ac:dyDescent="0.45">
      <c r="A21" s="103" t="s">
        <v>51</v>
      </c>
      <c r="B21" s="122">
        <f>0.01*B5</f>
        <v>596669.60400000005</v>
      </c>
      <c r="I21" s="4"/>
    </row>
    <row r="22" spans="1:9" x14ac:dyDescent="0.45">
      <c r="A22" s="106" t="s">
        <v>53</v>
      </c>
      <c r="B22" s="123">
        <f>0.01*B5</f>
        <v>596669.60400000005</v>
      </c>
    </row>
    <row r="23" spans="1:9" x14ac:dyDescent="0.45">
      <c r="A23" s="103" t="s">
        <v>54</v>
      </c>
      <c r="B23" s="110">
        <f>SUM(B19:B22)</f>
        <v>3384422.0160000008</v>
      </c>
      <c r="I23" s="4"/>
    </row>
    <row r="24" spans="1:9" x14ac:dyDescent="0.45">
      <c r="A24" s="103" t="s">
        <v>56</v>
      </c>
      <c r="B24" s="56">
        <f>SUM(B9,B17,B23)</f>
        <v>10260366.763075894</v>
      </c>
    </row>
    <row r="25" spans="1:9" x14ac:dyDescent="0.45">
      <c r="I25" s="108"/>
    </row>
    <row r="26" spans="1:9" x14ac:dyDescent="0.45">
      <c r="B26" s="143" t="s">
        <v>1</v>
      </c>
      <c r="C26" s="120"/>
      <c r="D26" s="120"/>
    </row>
    <row r="27" spans="1:9" x14ac:dyDescent="0.45">
      <c r="A27" s="103" t="s">
        <v>59</v>
      </c>
      <c r="B27" s="116">
        <v>2171</v>
      </c>
      <c r="C27" s="134"/>
      <c r="D27" s="69"/>
    </row>
    <row r="28" spans="1:9" x14ac:dyDescent="0.45">
      <c r="A28" s="103" t="s">
        <v>61</v>
      </c>
      <c r="B28" s="117">
        <v>0.92</v>
      </c>
      <c r="C28" s="135"/>
      <c r="D28" s="69"/>
    </row>
    <row r="29" spans="1:9" x14ac:dyDescent="0.45">
      <c r="A29" s="103" t="s">
        <v>62</v>
      </c>
      <c r="B29" s="136">
        <f>B27*B28</f>
        <v>1997.3200000000002</v>
      </c>
      <c r="C29" s="69"/>
      <c r="D29" s="69"/>
    </row>
    <row r="30" spans="1:9" x14ac:dyDescent="0.45">
      <c r="A30" s="103" t="s">
        <v>63</v>
      </c>
      <c r="B30" s="137">
        <f>B24/B29</f>
        <v>5137.0670513868045</v>
      </c>
      <c r="C30" s="77"/>
      <c r="D30" s="77"/>
    </row>
    <row r="32" spans="1:9" x14ac:dyDescent="0.45">
      <c r="A32" s="118"/>
      <c r="B32" s="69"/>
      <c r="C32" s="69"/>
    </row>
    <row r="33" spans="1:3" x14ac:dyDescent="0.45">
      <c r="A33" s="118"/>
      <c r="B33" s="69"/>
      <c r="C33" s="69"/>
    </row>
    <row r="34" spans="1:3" x14ac:dyDescent="0.45">
      <c r="A34" s="119"/>
      <c r="B34" s="69"/>
      <c r="C34" s="69"/>
    </row>
    <row r="35" spans="1:3" x14ac:dyDescent="0.45">
      <c r="A35" s="69"/>
      <c r="B35" s="69"/>
      <c r="C35" s="69"/>
    </row>
    <row r="36" spans="1:3" x14ac:dyDescent="0.45">
      <c r="A36" s="119"/>
      <c r="B36" s="77"/>
      <c r="C36" s="69"/>
    </row>
    <row r="37" spans="1:3" x14ac:dyDescent="0.45">
      <c r="A37" s="119"/>
      <c r="B37" s="77"/>
      <c r="C37" s="69"/>
    </row>
    <row r="38" spans="1:3" x14ac:dyDescent="0.45">
      <c r="A38" s="69"/>
      <c r="B38" s="120"/>
      <c r="C38" s="69"/>
    </row>
    <row r="39" spans="1:3" x14ac:dyDescent="0.45">
      <c r="A39" s="119"/>
      <c r="B39" s="77"/>
      <c r="C39" s="69"/>
    </row>
    <row r="40" spans="1:3" x14ac:dyDescent="0.45">
      <c r="A40" s="69"/>
      <c r="B40" s="69"/>
      <c r="C40" s="69"/>
    </row>
    <row r="41" spans="1:3" x14ac:dyDescent="0.45">
      <c r="A41" s="69"/>
      <c r="B41" s="69"/>
      <c r="C41" s="69"/>
    </row>
  </sheetData>
  <mergeCells count="1">
    <mergeCell ref="C12:C15"/>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Cover Page</vt:lpstr>
      <vt:lpstr>FFCC Read Me </vt:lpstr>
      <vt:lpstr>FFCC Boiler replacement x 3</vt:lpstr>
      <vt:lpstr>FFCC Boiler retrofit to gas x 3</vt:lpstr>
      <vt:lpstr>FFCC Boiler replacement x 1</vt:lpstr>
      <vt:lpstr>FFCC Boiler retrofit to gas x1</vt:lpstr>
      <vt:lpstr>FFC LSC</vt:lpstr>
      <vt:lpstr>FFCC Wet Scrubber</vt:lpstr>
      <vt:lpstr>FFCC SDA</vt:lpstr>
      <vt:lpstr>FFCC DSI</vt:lpstr>
      <vt:lpstr>FFCC SCR</vt:lpstr>
      <vt:lpstr>FFCC SNCR </vt:lpstr>
      <vt:lpstr>CEPCI Index</vt:lpstr>
      <vt:lpstr>Offsite Waste Costs 2022</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Treece, Tricia</dc:creator>
  <cp:keywords/>
  <dc:description/>
  <cp:lastModifiedBy>Treece, Tricia</cp:lastModifiedBy>
  <cp:revision/>
  <dcterms:created xsi:type="dcterms:W3CDTF">2022-07-30T12:13:22Z</dcterms:created>
  <dcterms:modified xsi:type="dcterms:W3CDTF">2022-08-01T23:43:04Z</dcterms:modified>
  <cp:category/>
  <cp:contentStatus/>
</cp:coreProperties>
</file>